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9270" tabRatio="956"/>
  </bookViews>
  <sheets>
    <sheet name="Bce prueba local" sheetId="1" r:id="rId1"/>
    <sheet name="Efectivo" sheetId="7" r:id="rId2"/>
    <sheet name="CDT" sheetId="6" r:id="rId3"/>
    <sheet name="Fondo" sheetId="5" r:id="rId4"/>
    <sheet name="CXC Clientes" sheetId="3" r:id="rId5"/>
    <sheet name="Anticipos" sheetId="10" r:id="rId6"/>
    <sheet name="Reclamac" sheetId="9" r:id="rId7"/>
    <sheet name="Ptos a 3erso" sheetId="8" r:id="rId8"/>
    <sheet name="Provisión CXC" sheetId="11" r:id="rId9"/>
    <sheet name="MP" sheetId="15" r:id="rId10"/>
    <sheet name="PP" sheetId="14" r:id="rId11"/>
    <sheet name="PT" sheetId="13" r:id="rId12"/>
    <sheet name="Mcias" sheetId="12" r:id="rId13"/>
    <sheet name="Rptos" sheetId="18" r:id="rId14"/>
    <sheet name="Inmuebles" sheetId="17" r:id="rId15"/>
    <sheet name="Maquin" sheetId="16" r:id="rId16"/>
    <sheet name="Otrosactivos" sheetId="21" r:id="rId17"/>
    <sheet name="IP" sheetId="20" r:id="rId18"/>
    <sheet name="Arren" sheetId="19" r:id="rId19"/>
    <sheet name="OF" sheetId="22" r:id="rId20"/>
    <sheet name="Tax  Diferido" sheetId="4" r:id="rId21"/>
    <sheet name="HT" sheetId="2" r:id="rId22"/>
    <sheet name="Hoja12" sheetId="23" r:id="rId23"/>
  </sheets>
  <externalReferences>
    <externalReference r:id="rId24"/>
  </externalReferences>
  <calcPr calcId="145621" concurrentCalc="0"/>
</workbook>
</file>

<file path=xl/calcChain.xml><?xml version="1.0" encoding="utf-8"?>
<calcChain xmlns="http://schemas.openxmlformats.org/spreadsheetml/2006/main">
  <c r="I17" i="23" l="1"/>
  <c r="C21" i="23"/>
  <c r="E21" i="23"/>
  <c r="F21" i="23"/>
  <c r="G21" i="23"/>
  <c r="H21" i="23"/>
  <c r="H17" i="23"/>
  <c r="C22" i="23"/>
  <c r="E22" i="23"/>
  <c r="F22" i="23"/>
  <c r="G22" i="23"/>
  <c r="H22" i="23"/>
  <c r="G17" i="23"/>
  <c r="C23" i="23"/>
  <c r="E23" i="23"/>
  <c r="F23" i="23"/>
  <c r="G23" i="23"/>
  <c r="H23" i="23"/>
  <c r="F17" i="23"/>
  <c r="C24" i="23"/>
  <c r="E24" i="23"/>
  <c r="F24" i="23"/>
  <c r="G24" i="23"/>
  <c r="H24" i="23"/>
  <c r="H25" i="23"/>
  <c r="E30" i="23"/>
  <c r="F31" i="23"/>
  <c r="F32" i="23"/>
  <c r="E32" i="23"/>
  <c r="B31" i="23"/>
  <c r="B30" i="23"/>
  <c r="E17" i="23"/>
  <c r="I16" i="23"/>
  <c r="H16" i="23"/>
  <c r="G16" i="23"/>
  <c r="F16" i="23"/>
  <c r="E16" i="23"/>
  <c r="C56" i="22"/>
  <c r="C60" i="22"/>
  <c r="C66" i="22"/>
  <c r="D66" i="22"/>
  <c r="E66" i="22"/>
  <c r="C57" i="22"/>
  <c r="C67" i="22"/>
  <c r="D67" i="22"/>
  <c r="E67" i="22"/>
  <c r="E68" i="22"/>
  <c r="C72" i="2"/>
  <c r="E69" i="22"/>
  <c r="E70" i="22"/>
  <c r="C74" i="22"/>
  <c r="D75" i="22"/>
  <c r="E139" i="2"/>
  <c r="D72" i="2"/>
  <c r="F72" i="2"/>
  <c r="D76" i="22"/>
  <c r="C76" i="22"/>
  <c r="C18" i="22"/>
  <c r="C23" i="22"/>
  <c r="C24" i="22"/>
  <c r="C25" i="22"/>
  <c r="C37" i="22"/>
  <c r="C71" i="2"/>
  <c r="C92" i="19"/>
  <c r="C135" i="19"/>
  <c r="C25" i="19"/>
  <c r="C93" i="19"/>
  <c r="C26" i="19"/>
  <c r="C94" i="19"/>
  <c r="C27" i="19"/>
  <c r="C95" i="19"/>
  <c r="C28" i="19"/>
  <c r="C96" i="19"/>
  <c r="C29" i="19"/>
  <c r="C97" i="19"/>
  <c r="C30" i="19"/>
  <c r="C98" i="19"/>
  <c r="C31" i="19"/>
  <c r="C99" i="19"/>
  <c r="C32" i="19"/>
  <c r="C100" i="19"/>
  <c r="C33" i="19"/>
  <c r="C101" i="19"/>
  <c r="C34" i="19"/>
  <c r="C102" i="19"/>
  <c r="C35" i="19"/>
  <c r="C103" i="19"/>
  <c r="C36" i="19"/>
  <c r="C104" i="19"/>
  <c r="C37" i="19"/>
  <c r="C105" i="19"/>
  <c r="C38" i="19"/>
  <c r="C106" i="19"/>
  <c r="C39" i="19"/>
  <c r="C107" i="19"/>
  <c r="C40" i="19"/>
  <c r="C108" i="19"/>
  <c r="C41" i="19"/>
  <c r="C109" i="19"/>
  <c r="C42" i="19"/>
  <c r="C110" i="19"/>
  <c r="C43" i="19"/>
  <c r="C111" i="19"/>
  <c r="C44" i="19"/>
  <c r="C112" i="19"/>
  <c r="C45" i="19"/>
  <c r="C113" i="19"/>
  <c r="C46" i="19"/>
  <c r="C114" i="19"/>
  <c r="C47" i="19"/>
  <c r="C115" i="19"/>
  <c r="C48" i="19"/>
  <c r="C116" i="19"/>
  <c r="C49" i="19"/>
  <c r="C117" i="19"/>
  <c r="C50" i="19"/>
  <c r="C118" i="19"/>
  <c r="C51" i="19"/>
  <c r="C119" i="19"/>
  <c r="C52" i="19"/>
  <c r="C120" i="19"/>
  <c r="C53" i="19"/>
  <c r="C121" i="19"/>
  <c r="C54" i="19"/>
  <c r="C122" i="19"/>
  <c r="C55" i="19"/>
  <c r="C123" i="19"/>
  <c r="C56" i="19"/>
  <c r="C124" i="19"/>
  <c r="C57" i="19"/>
  <c r="C125" i="19"/>
  <c r="C58" i="19"/>
  <c r="C126" i="19"/>
  <c r="C59" i="19"/>
  <c r="C127" i="19"/>
  <c r="C60" i="19"/>
  <c r="C128" i="19"/>
  <c r="D130" i="19"/>
  <c r="D135" i="19"/>
  <c r="E135" i="19"/>
  <c r="F135" i="19"/>
  <c r="C136" i="19"/>
  <c r="D136" i="19"/>
  <c r="E136" i="19"/>
  <c r="F136" i="19"/>
  <c r="C137" i="19"/>
  <c r="D137" i="19"/>
  <c r="E137" i="19"/>
  <c r="F137" i="19"/>
  <c r="C138" i="19"/>
  <c r="D138" i="19"/>
  <c r="E138" i="19"/>
  <c r="F138" i="19"/>
  <c r="C139" i="19"/>
  <c r="D139" i="19"/>
  <c r="E139" i="19"/>
  <c r="F139" i="19"/>
  <c r="C140" i="19"/>
  <c r="D140" i="19"/>
  <c r="E140" i="19"/>
  <c r="F140" i="19"/>
  <c r="C141" i="19"/>
  <c r="D141" i="19"/>
  <c r="E141" i="19"/>
  <c r="F141" i="19"/>
  <c r="C142" i="19"/>
  <c r="D142" i="19"/>
  <c r="E142" i="19"/>
  <c r="F142" i="19"/>
  <c r="C143" i="19"/>
  <c r="D143" i="19"/>
  <c r="E143" i="19"/>
  <c r="F143" i="19"/>
  <c r="C144" i="19"/>
  <c r="D144" i="19"/>
  <c r="E144" i="19"/>
  <c r="F144" i="19"/>
  <c r="C145" i="19"/>
  <c r="D145" i="19"/>
  <c r="E145" i="19"/>
  <c r="F145" i="19"/>
  <c r="C146" i="19"/>
  <c r="D146" i="19"/>
  <c r="E146" i="19"/>
  <c r="F146" i="19"/>
  <c r="C147" i="19"/>
  <c r="D147" i="19"/>
  <c r="E147" i="19"/>
  <c r="F147" i="19"/>
  <c r="C148" i="19"/>
  <c r="D148" i="19"/>
  <c r="E148" i="19"/>
  <c r="F148" i="19"/>
  <c r="C149" i="19"/>
  <c r="D149" i="19"/>
  <c r="E149" i="19"/>
  <c r="F149" i="19"/>
  <c r="C150" i="19"/>
  <c r="D150" i="19"/>
  <c r="E150" i="19"/>
  <c r="F150" i="19"/>
  <c r="C151" i="19"/>
  <c r="D151" i="19"/>
  <c r="E151" i="19"/>
  <c r="F151" i="19"/>
  <c r="C152" i="19"/>
  <c r="D152" i="19"/>
  <c r="E152" i="19"/>
  <c r="F152" i="19"/>
  <c r="C153" i="19"/>
  <c r="D153" i="19"/>
  <c r="E153" i="19"/>
  <c r="F153" i="19"/>
  <c r="C154" i="19"/>
  <c r="D154" i="19"/>
  <c r="E154" i="19"/>
  <c r="F154" i="19"/>
  <c r="C155" i="19"/>
  <c r="D155" i="19"/>
  <c r="E155" i="19"/>
  <c r="F155" i="19"/>
  <c r="D177" i="19"/>
  <c r="C40" i="22"/>
  <c r="C38" i="22"/>
  <c r="C29" i="22"/>
  <c r="C19" i="22"/>
  <c r="C20" i="22"/>
  <c r="C28" i="22"/>
  <c r="C24" i="17"/>
  <c r="D56" i="2"/>
  <c r="F56" i="2"/>
  <c r="B81" i="19"/>
  <c r="C175" i="19"/>
  <c r="B82" i="19"/>
  <c r="B83" i="19"/>
  <c r="B84" i="19"/>
  <c r="B85" i="19"/>
  <c r="D176" i="19"/>
  <c r="D178" i="19"/>
  <c r="E137" i="2"/>
  <c r="C36" i="16"/>
  <c r="C39" i="16"/>
  <c r="C41" i="16"/>
  <c r="C45" i="16"/>
  <c r="C53" i="16"/>
  <c r="C54" i="16"/>
  <c r="C55" i="16"/>
  <c r="C56" i="16"/>
  <c r="C57" i="16"/>
  <c r="C61" i="16"/>
  <c r="D62" i="16"/>
  <c r="E52" i="2"/>
  <c r="D51" i="2"/>
  <c r="F51" i="2"/>
  <c r="D75" i="19"/>
  <c r="G74" i="19"/>
  <c r="H75" i="19"/>
  <c r="D179" i="19"/>
  <c r="C179" i="19"/>
  <c r="B178" i="19"/>
  <c r="B177" i="19"/>
  <c r="B175" i="19"/>
  <c r="C156" i="19"/>
  <c r="D156" i="19"/>
  <c r="E156" i="19"/>
  <c r="F156" i="19"/>
  <c r="C157" i="19"/>
  <c r="D157" i="19"/>
  <c r="E157" i="19"/>
  <c r="F157" i="19"/>
  <c r="C158" i="19"/>
  <c r="D158" i="19"/>
  <c r="E158" i="19"/>
  <c r="F158" i="19"/>
  <c r="C159" i="19"/>
  <c r="D159" i="19"/>
  <c r="E159" i="19"/>
  <c r="F159" i="19"/>
  <c r="C160" i="19"/>
  <c r="D160" i="19"/>
  <c r="E160" i="19"/>
  <c r="F160" i="19"/>
  <c r="C161" i="19"/>
  <c r="D161" i="19"/>
  <c r="E161" i="19"/>
  <c r="F161" i="19"/>
  <c r="C162" i="19"/>
  <c r="D162" i="19"/>
  <c r="E162" i="19"/>
  <c r="F162" i="19"/>
  <c r="C163" i="19"/>
  <c r="D163" i="19"/>
  <c r="E163" i="19"/>
  <c r="F163" i="19"/>
  <c r="C164" i="19"/>
  <c r="D164" i="19"/>
  <c r="E164" i="19"/>
  <c r="F164" i="19"/>
  <c r="C165" i="19"/>
  <c r="D165" i="19"/>
  <c r="E165" i="19"/>
  <c r="F165" i="19"/>
  <c r="C166" i="19"/>
  <c r="D166" i="19"/>
  <c r="E166" i="19"/>
  <c r="F166" i="19"/>
  <c r="C167" i="19"/>
  <c r="D167" i="19"/>
  <c r="E167" i="19"/>
  <c r="F167" i="19"/>
  <c r="C168" i="19"/>
  <c r="D168" i="19"/>
  <c r="E168" i="19"/>
  <c r="F168" i="19"/>
  <c r="C169" i="19"/>
  <c r="D169" i="19"/>
  <c r="E169" i="19"/>
  <c r="F169" i="19"/>
  <c r="C170" i="19"/>
  <c r="D170" i="19"/>
  <c r="E170" i="19"/>
  <c r="F170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D25" i="19"/>
  <c r="B26" i="19"/>
  <c r="D26" i="19"/>
  <c r="B27" i="19"/>
  <c r="D27" i="19"/>
  <c r="B28" i="19"/>
  <c r="D28" i="19"/>
  <c r="B29" i="19"/>
  <c r="D29" i="19"/>
  <c r="B30" i="19"/>
  <c r="D30" i="19"/>
  <c r="B31" i="19"/>
  <c r="D31" i="19"/>
  <c r="B32" i="19"/>
  <c r="D32" i="19"/>
  <c r="B33" i="19"/>
  <c r="D33" i="19"/>
  <c r="B34" i="19"/>
  <c r="D34" i="19"/>
  <c r="B35" i="19"/>
  <c r="D35" i="19"/>
  <c r="B36" i="19"/>
  <c r="D36" i="19"/>
  <c r="B37" i="19"/>
  <c r="D37" i="19"/>
  <c r="B38" i="19"/>
  <c r="D38" i="19"/>
  <c r="B39" i="19"/>
  <c r="D39" i="19"/>
  <c r="B40" i="19"/>
  <c r="D40" i="19"/>
  <c r="B41" i="19"/>
  <c r="D41" i="19"/>
  <c r="B42" i="19"/>
  <c r="D42" i="19"/>
  <c r="B43" i="19"/>
  <c r="D43" i="19"/>
  <c r="B44" i="19"/>
  <c r="D44" i="19"/>
  <c r="B45" i="19"/>
  <c r="D45" i="19"/>
  <c r="B46" i="19"/>
  <c r="D46" i="19"/>
  <c r="B47" i="19"/>
  <c r="D47" i="19"/>
  <c r="B48" i="19"/>
  <c r="D48" i="19"/>
  <c r="B49" i="19"/>
  <c r="D49" i="19"/>
  <c r="B50" i="19"/>
  <c r="D50" i="19"/>
  <c r="B51" i="19"/>
  <c r="D51" i="19"/>
  <c r="B52" i="19"/>
  <c r="D52" i="19"/>
  <c r="B53" i="19"/>
  <c r="D53" i="19"/>
  <c r="B54" i="19"/>
  <c r="D54" i="19"/>
  <c r="B55" i="19"/>
  <c r="D55" i="19"/>
  <c r="B56" i="19"/>
  <c r="D56" i="19"/>
  <c r="B57" i="19"/>
  <c r="D57" i="19"/>
  <c r="B58" i="19"/>
  <c r="D58" i="19"/>
  <c r="B59" i="19"/>
  <c r="D59" i="19"/>
  <c r="D60" i="19"/>
  <c r="D61" i="19"/>
  <c r="D74" i="19"/>
  <c r="D76" i="19"/>
  <c r="E75" i="19"/>
  <c r="E74" i="19"/>
  <c r="E67" i="19"/>
  <c r="E66" i="19"/>
  <c r="E65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D25" i="20"/>
  <c r="D136" i="2"/>
  <c r="D18" i="20"/>
  <c r="D102" i="2"/>
  <c r="E20" i="20"/>
  <c r="E21" i="20"/>
  <c r="D22" i="20"/>
  <c r="E24" i="20"/>
  <c r="E18" i="2"/>
  <c r="D25" i="2"/>
  <c r="F25" i="2"/>
  <c r="E26" i="20"/>
  <c r="D26" i="20"/>
  <c r="C49" i="2"/>
  <c r="D12" i="16"/>
  <c r="D14" i="16"/>
  <c r="D17" i="16"/>
  <c r="E26" i="16"/>
  <c r="F12" i="17"/>
  <c r="H12" i="17"/>
  <c r="F13" i="17"/>
  <c r="H13" i="17"/>
  <c r="D28" i="17"/>
  <c r="E108" i="2"/>
  <c r="F108" i="2"/>
  <c r="D18" i="3"/>
  <c r="E20" i="3"/>
  <c r="D30" i="3"/>
  <c r="D23" i="3"/>
  <c r="D24" i="3"/>
  <c r="D26" i="3"/>
  <c r="D27" i="3"/>
  <c r="D31" i="3"/>
  <c r="G31" i="3"/>
  <c r="D57" i="3"/>
  <c r="D118" i="2"/>
  <c r="C29" i="2"/>
  <c r="F11" i="10"/>
  <c r="E17" i="10"/>
  <c r="D119" i="2"/>
  <c r="C31" i="2"/>
  <c r="D10" i="9"/>
  <c r="D120" i="2"/>
  <c r="C32" i="2"/>
  <c r="C10" i="8"/>
  <c r="C20" i="8"/>
  <c r="E14" i="8"/>
  <c r="C21" i="8"/>
  <c r="C22" i="8"/>
  <c r="C23" i="8"/>
  <c r="C24" i="8"/>
  <c r="C25" i="8"/>
  <c r="C26" i="8"/>
  <c r="C31" i="8"/>
  <c r="D121" i="2"/>
  <c r="C33" i="2"/>
  <c r="E8" i="11"/>
  <c r="E11" i="11"/>
  <c r="E16" i="11"/>
  <c r="D122" i="2"/>
  <c r="C36" i="2"/>
  <c r="C9" i="15"/>
  <c r="C11" i="15"/>
  <c r="D17" i="15"/>
  <c r="C15" i="15"/>
  <c r="D123" i="2"/>
  <c r="C37" i="2"/>
  <c r="C9" i="14"/>
  <c r="D11" i="14"/>
  <c r="C12" i="14"/>
  <c r="C14" i="14"/>
  <c r="D19" i="14"/>
  <c r="C18" i="14"/>
  <c r="D124" i="2"/>
  <c r="C39" i="2"/>
  <c r="C9" i="13"/>
  <c r="C12" i="13"/>
  <c r="C13" i="13"/>
  <c r="C17" i="13"/>
  <c r="C19" i="13"/>
  <c r="C21" i="13"/>
  <c r="C26" i="13"/>
  <c r="D125" i="2"/>
  <c r="C37" i="13"/>
  <c r="C48" i="13"/>
  <c r="C49" i="13"/>
  <c r="C44" i="13"/>
  <c r="C50" i="13"/>
  <c r="C51" i="13"/>
  <c r="C56" i="13"/>
  <c r="D126" i="2"/>
  <c r="D62" i="13"/>
  <c r="D12" i="13"/>
  <c r="D63" i="13"/>
  <c r="D65" i="13"/>
  <c r="D67" i="13"/>
  <c r="D72" i="13"/>
  <c r="D73" i="13"/>
  <c r="D75" i="13"/>
  <c r="D76" i="13"/>
  <c r="D77" i="13"/>
  <c r="C81" i="13"/>
  <c r="D127" i="2"/>
  <c r="C40" i="2"/>
  <c r="C10" i="12"/>
  <c r="C12" i="12"/>
  <c r="C17" i="12"/>
  <c r="D128" i="2"/>
  <c r="D28" i="18"/>
  <c r="D129" i="2"/>
  <c r="D20" i="18"/>
  <c r="D29" i="18"/>
  <c r="D130" i="2"/>
  <c r="D46" i="16"/>
  <c r="C47" i="16"/>
  <c r="D132" i="2"/>
  <c r="D133" i="2"/>
  <c r="C54" i="2"/>
  <c r="C68" i="16"/>
  <c r="D134" i="2"/>
  <c r="C60" i="2"/>
  <c r="C12" i="21"/>
  <c r="C63" i="2"/>
  <c r="C15" i="21"/>
  <c r="C23" i="21"/>
  <c r="D135" i="2"/>
  <c r="C19" i="2"/>
  <c r="E49" i="6"/>
  <c r="F17" i="6"/>
  <c r="C27" i="6"/>
  <c r="C28" i="6"/>
  <c r="C36" i="6"/>
  <c r="C46" i="6"/>
  <c r="C23" i="6"/>
  <c r="C34" i="6"/>
  <c r="C35" i="6"/>
  <c r="C29" i="6"/>
  <c r="C37" i="6"/>
  <c r="C39" i="6"/>
  <c r="D46" i="6"/>
  <c r="E46" i="6"/>
  <c r="C47" i="6"/>
  <c r="D47" i="6"/>
  <c r="E47" i="6"/>
  <c r="E48" i="6"/>
  <c r="E50" i="6"/>
  <c r="D62" i="6"/>
  <c r="E116" i="2"/>
  <c r="C20" i="2"/>
  <c r="D14" i="5"/>
  <c r="D21" i="5"/>
  <c r="D18" i="5"/>
  <c r="D19" i="5"/>
  <c r="D20" i="5"/>
  <c r="D22" i="5"/>
  <c r="E31" i="5"/>
  <c r="E117" i="2"/>
  <c r="F14" i="17"/>
  <c r="H14" i="17"/>
  <c r="D29" i="17"/>
  <c r="E131" i="2"/>
  <c r="E143" i="2"/>
  <c r="E107" i="2"/>
  <c r="C106" i="2"/>
  <c r="F106" i="2"/>
  <c r="C105" i="2"/>
  <c r="F105" i="2"/>
  <c r="C104" i="2"/>
  <c r="F104" i="2"/>
  <c r="C103" i="2"/>
  <c r="F103" i="2"/>
  <c r="C102" i="2"/>
  <c r="F102" i="2"/>
  <c r="C101" i="2"/>
  <c r="F101" i="2"/>
  <c r="C109" i="2"/>
  <c r="C66" i="2"/>
  <c r="C18" i="21"/>
  <c r="C28" i="21"/>
  <c r="D109" i="2"/>
  <c r="F109" i="2"/>
  <c r="D29" i="21"/>
  <c r="E66" i="2"/>
  <c r="F66" i="2"/>
  <c r="D26" i="21"/>
  <c r="E63" i="2"/>
  <c r="F63" i="2"/>
  <c r="D25" i="21"/>
  <c r="E60" i="2"/>
  <c r="F60" i="2"/>
  <c r="C59" i="2"/>
  <c r="F59" i="2"/>
  <c r="D31" i="21"/>
  <c r="C31" i="21"/>
  <c r="C11" i="21"/>
  <c r="C17" i="21"/>
  <c r="C14" i="21"/>
  <c r="C10" i="21"/>
  <c r="D69" i="16"/>
  <c r="E54" i="2"/>
  <c r="F54" i="2"/>
  <c r="D70" i="16"/>
  <c r="C70" i="16"/>
  <c r="F89" i="2"/>
  <c r="E93" i="2"/>
  <c r="E89" i="2"/>
  <c r="D89" i="2"/>
  <c r="C90" i="2"/>
  <c r="C91" i="2"/>
  <c r="C92" i="2"/>
  <c r="C89" i="2"/>
  <c r="D22" i="16"/>
  <c r="D49" i="2"/>
  <c r="D63" i="16"/>
  <c r="C63" i="16"/>
  <c r="D48" i="16"/>
  <c r="C48" i="16"/>
  <c r="D25" i="18"/>
  <c r="D46" i="2"/>
  <c r="F46" i="2"/>
  <c r="C22" i="17"/>
  <c r="D47" i="2"/>
  <c r="F47" i="2"/>
  <c r="C48" i="2"/>
  <c r="C23" i="17"/>
  <c r="D48" i="2"/>
  <c r="D15" i="17"/>
  <c r="D25" i="17"/>
  <c r="E48" i="2"/>
  <c r="F48" i="2"/>
  <c r="E24" i="16"/>
  <c r="E49" i="2"/>
  <c r="F49" i="2"/>
  <c r="C50" i="2"/>
  <c r="F50" i="2"/>
  <c r="E15" i="17"/>
  <c r="C27" i="17"/>
  <c r="D25" i="16"/>
  <c r="D52" i="2"/>
  <c r="C52" i="2"/>
  <c r="F52" i="2"/>
  <c r="E26" i="18"/>
  <c r="E53" i="2"/>
  <c r="F53" i="2"/>
  <c r="E28" i="16"/>
  <c r="D28" i="16"/>
  <c r="D7" i="2"/>
  <c r="D17" i="2"/>
  <c r="D27" i="2"/>
  <c r="D35" i="2"/>
  <c r="C30" i="2"/>
  <c r="F12" i="10"/>
  <c r="E19" i="10"/>
  <c r="D45" i="2"/>
  <c r="D44" i="2"/>
  <c r="D58" i="2"/>
  <c r="D62" i="2"/>
  <c r="D65" i="2"/>
  <c r="D70" i="2"/>
  <c r="D74" i="2"/>
  <c r="D77" i="2"/>
  <c r="D81" i="2"/>
  <c r="D85" i="2"/>
  <c r="D95" i="2"/>
  <c r="C8" i="2"/>
  <c r="C13" i="7"/>
  <c r="D13" i="2"/>
  <c r="C9" i="2"/>
  <c r="C14" i="7"/>
  <c r="D14" i="2"/>
  <c r="C10" i="2"/>
  <c r="C15" i="7"/>
  <c r="D15" i="2"/>
  <c r="D12" i="2"/>
  <c r="C56" i="6"/>
  <c r="D23" i="2"/>
  <c r="D27" i="5"/>
  <c r="D24" i="2"/>
  <c r="D22" i="2"/>
  <c r="D30" i="17"/>
  <c r="C30" i="17"/>
  <c r="G15" i="17"/>
  <c r="F15" i="17"/>
  <c r="E27" i="18"/>
  <c r="E42" i="2"/>
  <c r="D30" i="18"/>
  <c r="E30" i="18"/>
  <c r="D14" i="18"/>
  <c r="D18" i="12"/>
  <c r="E40" i="2"/>
  <c r="D20" i="12"/>
  <c r="C20" i="12"/>
  <c r="D27" i="13"/>
  <c r="D82" i="13"/>
  <c r="D57" i="13"/>
  <c r="E39" i="2"/>
  <c r="D83" i="13"/>
  <c r="C83" i="13"/>
  <c r="C72" i="13"/>
  <c r="C73" i="13"/>
  <c r="C62" i="13"/>
  <c r="D11" i="13"/>
  <c r="C63" i="13"/>
  <c r="C64" i="13"/>
  <c r="C65" i="13"/>
  <c r="C67" i="13"/>
  <c r="D58" i="13"/>
  <c r="C58" i="13"/>
  <c r="C41" i="13"/>
  <c r="C42" i="13"/>
  <c r="C43" i="13"/>
  <c r="C45" i="13"/>
  <c r="C30" i="13"/>
  <c r="D29" i="13"/>
  <c r="D30" i="13"/>
  <c r="D13" i="13"/>
  <c r="E37" i="2"/>
  <c r="D20" i="14"/>
  <c r="C20" i="14"/>
  <c r="F9" i="14"/>
  <c r="F10" i="14"/>
  <c r="F11" i="14"/>
  <c r="F37" i="2"/>
  <c r="C38" i="2"/>
  <c r="F38" i="2"/>
  <c r="F39" i="2"/>
  <c r="F40" i="2"/>
  <c r="C41" i="2"/>
  <c r="F41" i="2"/>
  <c r="C42" i="2"/>
  <c r="F42" i="2"/>
  <c r="E36" i="2"/>
  <c r="F36" i="2"/>
  <c r="D18" i="15"/>
  <c r="C18" i="15"/>
  <c r="F17" i="11"/>
  <c r="E33" i="2"/>
  <c r="F18" i="11"/>
  <c r="E18" i="11"/>
  <c r="C40" i="8"/>
  <c r="C16" i="8"/>
  <c r="D40" i="8"/>
  <c r="F40" i="8"/>
  <c r="D32" i="8"/>
  <c r="E32" i="2"/>
  <c r="D34" i="8"/>
  <c r="C34" i="8"/>
  <c r="E12" i="9"/>
  <c r="E31" i="2"/>
  <c r="E14" i="9"/>
  <c r="D14" i="9"/>
  <c r="F45" i="2"/>
  <c r="F44" i="2"/>
  <c r="E44" i="2"/>
  <c r="C44" i="2"/>
  <c r="F23" i="10"/>
  <c r="E29" i="2"/>
  <c r="F29" i="2"/>
  <c r="F24" i="10"/>
  <c r="E30" i="2"/>
  <c r="F30" i="2"/>
  <c r="F31" i="2"/>
  <c r="F32" i="2"/>
  <c r="F33" i="2"/>
  <c r="C28" i="2"/>
  <c r="F28" i="2"/>
  <c r="E26" i="10"/>
  <c r="F26" i="10"/>
  <c r="B24" i="10"/>
  <c r="B23" i="10"/>
  <c r="E58" i="3"/>
  <c r="E97" i="2"/>
  <c r="F97" i="2"/>
  <c r="F95" i="2"/>
  <c r="E95" i="2"/>
  <c r="C96" i="2"/>
  <c r="C95" i="2"/>
  <c r="E60" i="3"/>
  <c r="D60" i="3"/>
  <c r="D47" i="3"/>
  <c r="D46" i="3"/>
  <c r="D48" i="3"/>
  <c r="D49" i="3"/>
  <c r="D50" i="3"/>
  <c r="D32" i="3"/>
  <c r="D33" i="3"/>
  <c r="D34" i="3"/>
  <c r="D35" i="3"/>
  <c r="D36" i="3"/>
  <c r="D37" i="3"/>
  <c r="D38" i="3"/>
  <c r="D39" i="3"/>
  <c r="D41" i="3"/>
  <c r="D44" i="3"/>
  <c r="F23" i="2"/>
  <c r="F24" i="2"/>
  <c r="F22" i="2"/>
  <c r="E29" i="5"/>
  <c r="E20" i="2"/>
  <c r="F20" i="2"/>
  <c r="D59" i="6"/>
  <c r="E19" i="2"/>
  <c r="F19" i="2"/>
  <c r="C18" i="2"/>
  <c r="F18" i="2"/>
  <c r="E32" i="5"/>
  <c r="D32" i="5"/>
  <c r="D64" i="6"/>
  <c r="C64" i="6"/>
  <c r="F13" i="2"/>
  <c r="F14" i="2"/>
  <c r="F15" i="2"/>
  <c r="F12" i="2"/>
  <c r="C19" i="7"/>
  <c r="E9" i="2"/>
  <c r="F9" i="2"/>
  <c r="C20" i="7"/>
  <c r="E10" i="2"/>
  <c r="F10" i="2"/>
  <c r="C18" i="7"/>
  <c r="E8" i="2"/>
  <c r="F8" i="2"/>
  <c r="C7" i="2"/>
  <c r="D12" i="7"/>
  <c r="E17" i="7"/>
  <c r="E21" i="7"/>
  <c r="D21" i="7"/>
  <c r="B14" i="7"/>
  <c r="B19" i="7"/>
  <c r="B15" i="7"/>
  <c r="B20" i="7"/>
  <c r="B13" i="7"/>
  <c r="B18" i="7"/>
  <c r="G11" i="4"/>
  <c r="C16" i="4"/>
  <c r="D16" i="4"/>
  <c r="E16" i="4"/>
  <c r="G16" i="4"/>
  <c r="C17" i="4"/>
  <c r="D17" i="4"/>
  <c r="E17" i="4"/>
  <c r="G17" i="4"/>
  <c r="G15" i="4"/>
  <c r="D22" i="4"/>
  <c r="E22" i="4"/>
  <c r="G22" i="4"/>
  <c r="G19" i="4"/>
  <c r="D28" i="4"/>
  <c r="E28" i="4"/>
  <c r="G28" i="4"/>
  <c r="G23" i="4"/>
  <c r="G31" i="4"/>
  <c r="G32" i="4"/>
  <c r="G30" i="4"/>
  <c r="D35" i="4"/>
  <c r="E35" i="4"/>
  <c r="G35" i="4"/>
  <c r="C36" i="4"/>
  <c r="D36" i="4"/>
  <c r="E36" i="4"/>
  <c r="G36" i="4"/>
  <c r="C37" i="4"/>
  <c r="D37" i="4"/>
  <c r="E37" i="4"/>
  <c r="G37" i="4"/>
  <c r="G33" i="4"/>
  <c r="G40" i="4"/>
  <c r="G42" i="4"/>
  <c r="G44" i="4"/>
  <c r="C50" i="4"/>
  <c r="D50" i="4"/>
  <c r="E50" i="4"/>
  <c r="G50" i="4"/>
  <c r="G47" i="4"/>
  <c r="G51" i="4"/>
  <c r="G54" i="4"/>
  <c r="G57" i="4"/>
  <c r="G61" i="4"/>
  <c r="G63" i="4"/>
  <c r="G66" i="4"/>
  <c r="G67" i="4"/>
  <c r="C71" i="4"/>
  <c r="C73" i="4"/>
  <c r="C77" i="4"/>
  <c r="F11" i="4"/>
  <c r="F15" i="4"/>
  <c r="C20" i="4"/>
  <c r="D20" i="4"/>
  <c r="E20" i="4"/>
  <c r="F20" i="4"/>
  <c r="C21" i="4"/>
  <c r="D21" i="4"/>
  <c r="E21" i="4"/>
  <c r="F21" i="4"/>
  <c r="F19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9" i="4"/>
  <c r="D29" i="4"/>
  <c r="E29" i="4"/>
  <c r="F29" i="4"/>
  <c r="F23" i="4"/>
  <c r="F30" i="4"/>
  <c r="F33" i="4"/>
  <c r="F40" i="4"/>
  <c r="F42" i="4"/>
  <c r="F44" i="4"/>
  <c r="C48" i="4"/>
  <c r="D48" i="4"/>
  <c r="E48" i="4"/>
  <c r="F48" i="4"/>
  <c r="D49" i="4"/>
  <c r="E49" i="4"/>
  <c r="F49" i="4"/>
  <c r="F47" i="4"/>
  <c r="C53" i="4"/>
  <c r="D53" i="4"/>
  <c r="E53" i="4"/>
  <c r="F53" i="4"/>
  <c r="F51" i="4"/>
  <c r="F54" i="4"/>
  <c r="D60" i="4"/>
  <c r="E60" i="4"/>
  <c r="F60" i="4"/>
  <c r="F57" i="4"/>
  <c r="F62" i="4"/>
  <c r="F61" i="4"/>
  <c r="D64" i="4"/>
  <c r="E64" i="4"/>
  <c r="F64" i="4"/>
  <c r="F63" i="4"/>
  <c r="F66" i="4"/>
  <c r="F67" i="4"/>
  <c r="B71" i="4"/>
  <c r="B73" i="4"/>
  <c r="B76" i="4"/>
  <c r="C80" i="4"/>
  <c r="C81" i="4"/>
  <c r="B81" i="4"/>
  <c r="E47" i="4"/>
  <c r="C52" i="4"/>
  <c r="D52" i="4"/>
  <c r="E52" i="4"/>
  <c r="E51" i="4"/>
  <c r="C55" i="4"/>
  <c r="D55" i="4"/>
  <c r="E55" i="4"/>
  <c r="C56" i="4"/>
  <c r="D56" i="4"/>
  <c r="E56" i="4"/>
  <c r="E54" i="4"/>
  <c r="C58" i="4"/>
  <c r="D58" i="4"/>
  <c r="E58" i="4"/>
  <c r="C59" i="4"/>
  <c r="D59" i="4"/>
  <c r="E59" i="4"/>
  <c r="E57" i="4"/>
  <c r="E61" i="4"/>
  <c r="C65" i="4"/>
  <c r="D65" i="4"/>
  <c r="E65" i="4"/>
  <c r="E63" i="4"/>
  <c r="E66" i="4"/>
  <c r="D47" i="4"/>
  <c r="D51" i="4"/>
  <c r="D54" i="4"/>
  <c r="D57" i="4"/>
  <c r="D62" i="4"/>
  <c r="D61" i="4"/>
  <c r="D63" i="4"/>
  <c r="D66" i="4"/>
  <c r="C47" i="4"/>
  <c r="C51" i="4"/>
  <c r="C54" i="4"/>
  <c r="C57" i="4"/>
  <c r="C61" i="4"/>
  <c r="C63" i="4"/>
  <c r="C66" i="4"/>
  <c r="B47" i="4"/>
  <c r="B51" i="4"/>
  <c r="B54" i="4"/>
  <c r="B57" i="4"/>
  <c r="B61" i="4"/>
  <c r="B63" i="4"/>
  <c r="B66" i="4"/>
  <c r="C12" i="4"/>
  <c r="D12" i="4"/>
  <c r="E12" i="4"/>
  <c r="C13" i="4"/>
  <c r="D13" i="4"/>
  <c r="E13" i="4"/>
  <c r="C14" i="4"/>
  <c r="D14" i="4"/>
  <c r="E14" i="4"/>
  <c r="E11" i="4"/>
  <c r="C18" i="4"/>
  <c r="D18" i="4"/>
  <c r="E18" i="4"/>
  <c r="E15" i="4"/>
  <c r="E19" i="4"/>
  <c r="E23" i="4"/>
  <c r="E30" i="4"/>
  <c r="C38" i="4"/>
  <c r="D38" i="4"/>
  <c r="E38" i="4"/>
  <c r="D39" i="4"/>
  <c r="E39" i="4"/>
  <c r="E33" i="4"/>
  <c r="D41" i="4"/>
  <c r="E41" i="4"/>
  <c r="E40" i="4"/>
  <c r="C43" i="4"/>
  <c r="D43" i="4"/>
  <c r="E43" i="4"/>
  <c r="E42" i="4"/>
  <c r="E44" i="4"/>
  <c r="D11" i="4"/>
  <c r="D15" i="4"/>
  <c r="D19" i="4"/>
  <c r="D23" i="4"/>
  <c r="D31" i="4"/>
  <c r="D32" i="4"/>
  <c r="D30" i="4"/>
  <c r="D34" i="4"/>
  <c r="D33" i="4"/>
  <c r="B40" i="4"/>
  <c r="C40" i="4"/>
  <c r="D40" i="4"/>
  <c r="D42" i="4"/>
  <c r="D44" i="4"/>
  <c r="C11" i="4"/>
  <c r="C15" i="4"/>
  <c r="C19" i="4"/>
  <c r="C23" i="4"/>
  <c r="C30" i="4"/>
  <c r="C33" i="4"/>
  <c r="C42" i="4"/>
  <c r="C44" i="4"/>
  <c r="B11" i="4"/>
  <c r="B15" i="4"/>
  <c r="B19" i="4"/>
  <c r="B23" i="4"/>
  <c r="B30" i="4"/>
  <c r="B33" i="4"/>
  <c r="B42" i="4"/>
  <c r="B44" i="4"/>
  <c r="E7" i="2"/>
  <c r="E17" i="2"/>
  <c r="E110" i="2"/>
  <c r="E27" i="2"/>
  <c r="E35" i="2"/>
  <c r="E58" i="2"/>
  <c r="E62" i="2"/>
  <c r="E65" i="2"/>
  <c r="E74" i="2"/>
  <c r="E77" i="2"/>
  <c r="E81" i="2"/>
  <c r="E85" i="2"/>
  <c r="F74" i="2"/>
  <c r="F77" i="2"/>
  <c r="F81" i="2"/>
  <c r="F85" i="2"/>
  <c r="F7" i="2"/>
  <c r="F17" i="2"/>
  <c r="F27" i="2"/>
  <c r="F35" i="2"/>
  <c r="F58" i="2"/>
  <c r="F62" i="2"/>
  <c r="F65" i="2"/>
  <c r="F67" i="2"/>
  <c r="C70" i="2"/>
  <c r="C75" i="2"/>
  <c r="C74" i="2"/>
  <c r="C78" i="2"/>
  <c r="C79" i="2"/>
  <c r="C77" i="2"/>
  <c r="C82" i="2"/>
  <c r="C83" i="2"/>
  <c r="C81" i="2"/>
  <c r="C86" i="2"/>
  <c r="C87" i="2"/>
  <c r="C85" i="2"/>
  <c r="C98" i="2"/>
  <c r="C110" i="2"/>
  <c r="C111" i="2"/>
  <c r="C17" i="2"/>
  <c r="C27" i="2"/>
  <c r="C35" i="2"/>
  <c r="C58" i="2"/>
  <c r="C62" i="2"/>
  <c r="C65" i="2"/>
  <c r="C67" i="2"/>
  <c r="C112" i="2"/>
  <c r="C68" i="2"/>
  <c r="C69" i="2"/>
  <c r="F46" i="1"/>
  <c r="F49" i="1"/>
  <c r="F51" i="1"/>
  <c r="F54" i="1"/>
  <c r="F57" i="1"/>
  <c r="F60" i="1"/>
  <c r="F64" i="1"/>
  <c r="F66" i="1"/>
  <c r="F76" i="1"/>
  <c r="F77" i="1"/>
  <c r="F7" i="1"/>
  <c r="F11" i="1"/>
  <c r="F15" i="1"/>
  <c r="F22" i="1"/>
  <c r="F30" i="1"/>
  <c r="F36" i="1"/>
  <c r="F39" i="1"/>
  <c r="F41" i="1"/>
  <c r="F43" i="1"/>
  <c r="F78" i="1"/>
  <c r="C31" i="22"/>
  <c r="C39" i="22"/>
  <c r="C41" i="22"/>
  <c r="C44" i="22"/>
  <c r="D45" i="22"/>
  <c r="E71" i="2"/>
  <c r="F71" i="2"/>
  <c r="F70" i="2"/>
  <c r="F98" i="2"/>
  <c r="D138" i="2"/>
  <c r="D143" i="2"/>
  <c r="D107" i="2"/>
  <c r="F107" i="2"/>
  <c r="F110" i="2"/>
  <c r="F111" i="2"/>
  <c r="F112" i="2"/>
  <c r="E70" i="2"/>
  <c r="E111" i="2"/>
  <c r="D110" i="2"/>
  <c r="D111" i="2"/>
  <c r="C46" i="22"/>
  <c r="D46" i="22"/>
</calcChain>
</file>

<file path=xl/comments1.xml><?xml version="1.0" encoding="utf-8"?>
<comments xmlns="http://schemas.openxmlformats.org/spreadsheetml/2006/main">
  <authors>
    <author>ANDREINA</author>
  </authors>
  <commentList>
    <comment ref="C60" authorId="0">
      <text>
        <r>
          <rPr>
            <b/>
            <sz val="9"/>
            <color indexed="81"/>
            <rFont val="Tahoma"/>
            <family val="2"/>
          </rPr>
          <t>Más opción de compra</t>
        </r>
      </text>
    </comment>
  </commentList>
</comments>
</file>

<file path=xl/sharedStrings.xml><?xml version="1.0" encoding="utf-8"?>
<sst xmlns="http://schemas.openxmlformats.org/spreadsheetml/2006/main" count="840" uniqueCount="560">
  <si>
    <t>COMPAÑÍA XYZ S.A.</t>
  </si>
  <si>
    <t>BALANCE GENERAL</t>
  </si>
  <si>
    <t>AL 31 de diciembre de 2013</t>
  </si>
  <si>
    <t>(Miles de pesos)</t>
  </si>
  <si>
    <t>Activo</t>
  </si>
  <si>
    <t>Disponible</t>
  </si>
  <si>
    <t xml:space="preserve">  Caja menor</t>
  </si>
  <si>
    <t xml:space="preserve">  Banco Davivienda</t>
  </si>
  <si>
    <t xml:space="preserve">  Banco de Bogotá</t>
  </si>
  <si>
    <t>Inversiones</t>
  </si>
  <si>
    <t xml:space="preserve">  Certificado de depósito a término</t>
  </si>
  <si>
    <t xml:space="preserve">  Fondos fiduciarios</t>
  </si>
  <si>
    <t>Deudores</t>
  </si>
  <si>
    <t xml:space="preserve">  Clientes</t>
  </si>
  <si>
    <t xml:space="preserve">  Anticipos gastos de viaje - Empleados</t>
  </si>
  <si>
    <t xml:space="preserve">  Anticipos - Compra de PPE</t>
  </si>
  <si>
    <t xml:space="preserve">  Reclamaciones a aseguradoras</t>
  </si>
  <si>
    <t xml:space="preserve">  Préstamos a terceros</t>
  </si>
  <si>
    <t xml:space="preserve">  Provisión general</t>
  </si>
  <si>
    <t>Inventarios</t>
  </si>
  <si>
    <t xml:space="preserve">  Materia prima</t>
  </si>
  <si>
    <t xml:space="preserve">  Productos en proceso</t>
  </si>
  <si>
    <t xml:space="preserve">  Cultivos en desarrollo</t>
  </si>
  <si>
    <t xml:space="preserve">  Producto terminado</t>
  </si>
  <si>
    <t xml:space="preserve">  Mercancias no fabricadas por la empresa</t>
  </si>
  <si>
    <t xml:space="preserve">  Semovientes</t>
  </si>
  <si>
    <t xml:space="preserve">  Materiales, repuestos y accesorios</t>
  </si>
  <si>
    <t>Propiedades, planta y equipo</t>
  </si>
  <si>
    <t xml:space="preserve">  Construcciones y edificaciones</t>
  </si>
  <si>
    <t xml:space="preserve">  Maquinaria</t>
  </si>
  <si>
    <t xml:space="preserve">  Equipo de oficina</t>
  </si>
  <si>
    <t xml:space="preserve">  Depreciación acumulada</t>
  </si>
  <si>
    <t xml:space="preserve">  AXI, neto</t>
  </si>
  <si>
    <t>Diferidos</t>
  </si>
  <si>
    <t xml:space="preserve">  Gastos pagados por anticipado - Seguros</t>
  </si>
  <si>
    <t xml:space="preserve">  Cargo diferidos</t>
  </si>
  <si>
    <t>Otros activos</t>
  </si>
  <si>
    <t xml:space="preserve">  Bienes de arte y cultura</t>
  </si>
  <si>
    <t>Valorizaciones</t>
  </si>
  <si>
    <t xml:space="preserve">  Propiedad, planta y equipo</t>
  </si>
  <si>
    <t>Total activo</t>
  </si>
  <si>
    <t>Pasivo</t>
  </si>
  <si>
    <t>Obligaciones financieras</t>
  </si>
  <si>
    <t xml:space="preserve">  Bancos nacionales</t>
  </si>
  <si>
    <t xml:space="preserve">  Obligaciones con particulares</t>
  </si>
  <si>
    <t>Proveedores</t>
  </si>
  <si>
    <t xml:space="preserve">  Proveedores nacionales</t>
  </si>
  <si>
    <t>Cuentas por pagar</t>
  </si>
  <si>
    <t xml:space="preserve">  Costos y gastos por pagar (Intereses)</t>
  </si>
  <si>
    <t xml:space="preserve">  Acreedores</t>
  </si>
  <si>
    <t>Impuestos gravámenes y tasas</t>
  </si>
  <si>
    <t xml:space="preserve">  Renta y complementarios</t>
  </si>
  <si>
    <t xml:space="preserve">  Impuesto a las ventas por pagar</t>
  </si>
  <si>
    <t>Obligaciones laborales</t>
  </si>
  <si>
    <t xml:space="preserve">  Cesantías consolidadas</t>
  </si>
  <si>
    <t xml:space="preserve">  Vacaciones consolidadas</t>
  </si>
  <si>
    <t>Pasivos estimados y provisiones</t>
  </si>
  <si>
    <t xml:space="preserve">  Para costos y gastos</t>
  </si>
  <si>
    <t xml:space="preserve">  Para mantenimiento y reparaciones</t>
  </si>
  <si>
    <t xml:space="preserve">  Para contingencias</t>
  </si>
  <si>
    <t xml:space="preserve">  Impuestos diferidos</t>
  </si>
  <si>
    <t>Total pasivo</t>
  </si>
  <si>
    <t>Patrimonio</t>
  </si>
  <si>
    <t xml:space="preserve">  Capital social</t>
  </si>
  <si>
    <t xml:space="preserve">  Superávit de capital</t>
  </si>
  <si>
    <t xml:space="preserve">  Reservas</t>
  </si>
  <si>
    <t xml:space="preserve">  Revalorización del patrimonio</t>
  </si>
  <si>
    <t xml:space="preserve">  Resultados del ejercicio</t>
  </si>
  <si>
    <t xml:space="preserve">  Resultados de ejercicios anteriores</t>
  </si>
  <si>
    <t xml:space="preserve">  Superávit por valorizaciones</t>
  </si>
  <si>
    <t>Total patrimonio</t>
  </si>
  <si>
    <t>Total pasivo y patrimonio</t>
  </si>
  <si>
    <t>Diferencia</t>
  </si>
  <si>
    <t>HOJA DE TRABAJO PARA LA CONVERSIÓN INICIAL A NIIF</t>
  </si>
  <si>
    <t>Ajustes a NIIF</t>
  </si>
  <si>
    <t xml:space="preserve">Activos   </t>
  </si>
  <si>
    <t>Local</t>
  </si>
  <si>
    <t>Dr</t>
  </si>
  <si>
    <t>CR</t>
  </si>
  <si>
    <t>NIIF</t>
  </si>
  <si>
    <t xml:space="preserve"> </t>
  </si>
  <si>
    <t xml:space="preserve">  AL 31 DE DICIEMBRE DE 2013</t>
  </si>
  <si>
    <t>ESTADO DE SITUACIÓN FINANCIERA DE APERTURA</t>
  </si>
  <si>
    <t>A 1º de enero de 2014</t>
  </si>
  <si>
    <t>IMPUESTO DIFERIDO DE RENTA</t>
  </si>
  <si>
    <t>Base</t>
  </si>
  <si>
    <t>Impuesto Diferido</t>
  </si>
  <si>
    <t>Saldos NIF</t>
  </si>
  <si>
    <t>Fiscal</t>
  </si>
  <si>
    <t>Valor</t>
  </si>
  <si>
    <t>Efectivo y equivalentes al efectivo</t>
  </si>
  <si>
    <t>Instrumentos financieros - Activos financieros</t>
  </si>
  <si>
    <t xml:space="preserve">  Instrumentos financieros medidos al costo amortizado</t>
  </si>
  <si>
    <t xml:space="preserve">  Instrumentos financieros medidos al valor razonable</t>
  </si>
  <si>
    <t>Subsidiaria</t>
  </si>
  <si>
    <t>Clientes y otras cuentas por cobrar</t>
  </si>
  <si>
    <t xml:space="preserve">  Deudores - Contrato de construcción</t>
  </si>
  <si>
    <t xml:space="preserve">  Carne de res en despiece</t>
  </si>
  <si>
    <t>Activos biológicos</t>
  </si>
  <si>
    <t xml:space="preserve">  AB medidos a VR - Cultivo de tomates</t>
  </si>
  <si>
    <t xml:space="preserve">  AB medidos a VR - Ganado</t>
  </si>
  <si>
    <t xml:space="preserve">  Anticipos</t>
  </si>
  <si>
    <t xml:space="preserve">  Repuestos</t>
  </si>
  <si>
    <t xml:space="preserve">  Vehículo (Arrendamiento financiero)</t>
  </si>
  <si>
    <t>Propiedades de inversión</t>
  </si>
  <si>
    <t>Activos intangibles</t>
  </si>
  <si>
    <t xml:space="preserve">  Seguros pagados por anticipado</t>
  </si>
  <si>
    <t>Instrumentos financieros</t>
  </si>
  <si>
    <t xml:space="preserve">  Préstamos bancos nacionales </t>
  </si>
  <si>
    <t xml:space="preserve">  Pasivo - Arrendamiento financiero</t>
  </si>
  <si>
    <t xml:space="preserve">  Préstamos particulares</t>
  </si>
  <si>
    <t>Proveedores y otras cuentas por pagar</t>
  </si>
  <si>
    <t xml:space="preserve">  Proveedores naconales</t>
  </si>
  <si>
    <t>Pasivo por impuestos corrientes</t>
  </si>
  <si>
    <t>Beneficios a empleados</t>
  </si>
  <si>
    <t xml:space="preserve">  Corto plazo - Cesantías consolidadas</t>
  </si>
  <si>
    <t xml:space="preserve">  Corto plazo - Vacaciones consolidadas</t>
  </si>
  <si>
    <t xml:space="preserve"> Largo plazo - Prima de antigüedad</t>
  </si>
  <si>
    <t>Provisiones</t>
  </si>
  <si>
    <t xml:space="preserve">  Para desmantelamiento de máquina</t>
  </si>
  <si>
    <t>Ingresos diferidos</t>
  </si>
  <si>
    <t xml:space="preserve">  Impuesto de renta diferido</t>
  </si>
  <si>
    <t>Ajustes por efectos de conversión a las NIIF:</t>
  </si>
  <si>
    <t>Saldo bajo NIIF</t>
  </si>
  <si>
    <t>Saldo bajo los PCGA locales</t>
  </si>
  <si>
    <t>Ajuste</t>
  </si>
  <si>
    <t>Db. Impuesto diferido activo</t>
  </si>
  <si>
    <t>Cr. Impuesto diferido pasivo</t>
  </si>
  <si>
    <t>Db. Superávit por revaluación</t>
  </si>
  <si>
    <t>Impuesto diferido</t>
  </si>
  <si>
    <t>Cr. Ganacias retenidas</t>
  </si>
  <si>
    <t>Totales</t>
  </si>
  <si>
    <t xml:space="preserve">  Inversiones permanentes</t>
  </si>
  <si>
    <t>DISPONIBLE</t>
  </si>
  <si>
    <t>Cita técnica</t>
  </si>
  <si>
    <t>NIIF 9 - NIC 7</t>
  </si>
  <si>
    <t>NIC 1</t>
  </si>
  <si>
    <t>Detalle:</t>
  </si>
  <si>
    <t>El saldo del dipsonible de acuerdo con la NIC 7 se denomina Efecetivo y equivalentes</t>
  </si>
  <si>
    <t>Reclasificación:</t>
  </si>
  <si>
    <t>Dr. Efectivo y equivalentes</t>
  </si>
  <si>
    <t>Parcial</t>
  </si>
  <si>
    <t>Cr</t>
  </si>
  <si>
    <t>Cr. Disponible</t>
  </si>
  <si>
    <t>Efectivo y equivalentes a efectivo</t>
  </si>
  <si>
    <t>INVERSIONES EN CDT</t>
  </si>
  <si>
    <t>NIIF 9</t>
  </si>
  <si>
    <t>Descripción:</t>
  </si>
  <si>
    <t>Este título se va a mantener al vencimiento, por lo que se clasifica en  la categoría a costo amortizado con base en la tasa de interés efectiva</t>
  </si>
  <si>
    <t>El costo inicial lo comprende el costo de compra más los costos de la transacción</t>
  </si>
  <si>
    <t>Cálculos:</t>
  </si>
  <si>
    <t>Fecha de compra</t>
  </si>
  <si>
    <t>fecha de vencimiento</t>
  </si>
  <si>
    <t>Cantidad</t>
  </si>
  <si>
    <t>Nominal</t>
  </si>
  <si>
    <t>Valor de compra</t>
  </si>
  <si>
    <t>Tasa de interés</t>
  </si>
  <si>
    <t>EA AV</t>
  </si>
  <si>
    <t>Costo de la transacción</t>
  </si>
  <si>
    <t>1. Hallar la tasa de interés efectiva:</t>
  </si>
  <si>
    <t>1.1. Flujo inicial</t>
  </si>
  <si>
    <t>1.2. Flujos futuros:</t>
  </si>
  <si>
    <t>Interes anuales</t>
  </si>
  <si>
    <t>1.3. TIR</t>
  </si>
  <si>
    <t>EA</t>
  </si>
  <si>
    <t>2. Valoración del título al 31 de diciembre de 2013:</t>
  </si>
  <si>
    <t>VF</t>
  </si>
  <si>
    <t>Días</t>
  </si>
  <si>
    <t>VA</t>
  </si>
  <si>
    <t>Valoración NIIF</t>
  </si>
  <si>
    <t>Libros</t>
  </si>
  <si>
    <t>Ajuste de valoración a NIIF</t>
  </si>
  <si>
    <t>3. Ajuste para llevar  a NIIF:</t>
  </si>
  <si>
    <t>Dr. Instrumentos financieros</t>
  </si>
  <si>
    <t>A costo amortizado</t>
  </si>
  <si>
    <t>Cr. Inversiones</t>
  </si>
  <si>
    <t>CDT</t>
  </si>
  <si>
    <t>Cr. Ganancias retenidas</t>
  </si>
  <si>
    <t>Ajuste valoración CDT</t>
  </si>
  <si>
    <t xml:space="preserve">  A costo amortizado</t>
  </si>
  <si>
    <t xml:space="preserve">  Ganancias retenidas por adopción inicial</t>
  </si>
  <si>
    <t xml:space="preserve">  Ganancias retenidas por adopción inicial:</t>
  </si>
  <si>
    <t>Ajuste por valoración CDT</t>
  </si>
  <si>
    <t>INVERSIONES EN FONDO FIDUCIARIO</t>
  </si>
  <si>
    <t>Estos título se tiene para obtener rendimientos en el corto plazo por variaciones en su valor de mercado</t>
  </si>
  <si>
    <t>El costo inicial lo comprende el costo de compra.</t>
  </si>
  <si>
    <t>Se valorar de acuerdo con los precios de mercado</t>
  </si>
  <si>
    <t>Información:</t>
  </si>
  <si>
    <t>Unidades</t>
  </si>
  <si>
    <t>Precio de mercado</t>
  </si>
  <si>
    <t>Valor libros local</t>
  </si>
  <si>
    <t>Valoración para llevar a NIIF:</t>
  </si>
  <si>
    <t>Valor de mercado</t>
  </si>
  <si>
    <t>Ajuste de valoración</t>
  </si>
  <si>
    <t>Ajuste para llevar a NIIF:</t>
  </si>
  <si>
    <t>A valor razonable con efecto en resultados</t>
  </si>
  <si>
    <t>Fondo</t>
  </si>
  <si>
    <t xml:space="preserve">  A valor razonable con efecto en resultados</t>
  </si>
  <si>
    <t>Ajuste por valoración fondo</t>
  </si>
  <si>
    <t>CUENTAS POR COBRAR CLIENTES</t>
  </si>
  <si>
    <t>Cita técnica:</t>
  </si>
  <si>
    <t>Análisis</t>
  </si>
  <si>
    <t>Saldos de ventas en plazos normales no se modifican ni generan ajustes</t>
  </si>
  <si>
    <t>Los saldos con pago aplazado implica separar el costo de financiero de la venta; por lo tanto se debe reconocer un ingreso diferido</t>
  </si>
  <si>
    <t>Detalle</t>
  </si>
  <si>
    <t>Clientes</t>
  </si>
  <si>
    <t>Plazo</t>
  </si>
  <si>
    <t>meses</t>
  </si>
  <si>
    <t>Plazo normal</t>
  </si>
  <si>
    <t>Saldo de la CXC local</t>
  </si>
  <si>
    <t>Dr. CXC</t>
  </si>
  <si>
    <t>Cr. Ventas</t>
  </si>
  <si>
    <t>Cr. Ingresos diferido</t>
  </si>
  <si>
    <t>TIR:</t>
  </si>
  <si>
    <t>MV</t>
  </si>
  <si>
    <t>Saldo teórico de cxc</t>
  </si>
  <si>
    <t>Primer mes</t>
  </si>
  <si>
    <t>Interes del primer mes</t>
  </si>
  <si>
    <t>Subttoal</t>
  </si>
  <si>
    <t>Segundo mes</t>
  </si>
  <si>
    <t>Interes de 2o mes</t>
  </si>
  <si>
    <t>Terces</t>
  </si>
  <si>
    <t>Interes del 3er mes</t>
  </si>
  <si>
    <t>Cuatro mes</t>
  </si>
  <si>
    <t>Interes del 4o mes</t>
  </si>
  <si>
    <t>Quinto mes</t>
  </si>
  <si>
    <t>Interes del 5o mes</t>
  </si>
  <si>
    <t>Saldo ingresos</t>
  </si>
  <si>
    <t>Diferido</t>
  </si>
  <si>
    <t>Saldo del ingreso diferido</t>
  </si>
  <si>
    <t>No. De meses</t>
  </si>
  <si>
    <t>Valor futuro</t>
  </si>
  <si>
    <t>Valor actual</t>
  </si>
  <si>
    <t>Ajuste como ingreso diferido</t>
  </si>
  <si>
    <t>Ajuste para llevar  a las NIIF:</t>
  </si>
  <si>
    <t>Dr. Ganancias retenidas</t>
  </si>
  <si>
    <t>Cr Ingresos diferidos</t>
  </si>
  <si>
    <t xml:space="preserve">  Ingresos diferido</t>
  </si>
  <si>
    <t>Ajuste ingreso diferidos venta con pago aplazado</t>
  </si>
  <si>
    <t>ANTICIPOS</t>
  </si>
  <si>
    <t>NIIF 9   - NIC 38</t>
  </si>
  <si>
    <t>Si no se va a recibir dinero u otro instrumentos financieros no es un saldo deudor</t>
  </si>
  <si>
    <t>Si son anticipos seguirá se registro de acuerdo con la naturaleza y destino del mismo</t>
  </si>
  <si>
    <t>Saldo:</t>
  </si>
  <si>
    <t>Anticipo para gastos de viaje</t>
  </si>
  <si>
    <t>Reclasifica  a gastos por haber sido incurrido</t>
  </si>
  <si>
    <t>Anticipo paara compra PPE</t>
  </si>
  <si>
    <t>Reclasifica a PPE</t>
  </si>
  <si>
    <t>Ajyste para llevar a NIIF:</t>
  </si>
  <si>
    <t>Dr. PPE</t>
  </si>
  <si>
    <t>Anticipos</t>
  </si>
  <si>
    <t>Cr. Deudores</t>
  </si>
  <si>
    <t xml:space="preserve">   Anticipos</t>
  </si>
  <si>
    <t>Ajuse de anticipos para gastos incurridos</t>
  </si>
  <si>
    <t>RECLAMACIONES A CIAS DE SEGUROS</t>
  </si>
  <si>
    <t xml:space="preserve">NIIF 9   </t>
  </si>
  <si>
    <t>Si existe incertidumbre para obtener el flujo de caja del saldo, debe ser eliminado de los EF; es decir no es activo.</t>
  </si>
  <si>
    <t>Ajustes para llevar a NIIF:</t>
  </si>
  <si>
    <t>Reclamaciones</t>
  </si>
  <si>
    <t>Ajuste de reclamaciones inciertas</t>
  </si>
  <si>
    <t>NIC 37</t>
  </si>
  <si>
    <t>PRESTAMOS A TERCEROS</t>
  </si>
  <si>
    <t>Si sobre el saldo no se cobra interes o este es menor a la tasa de mercado, se valoran con base en el método del</t>
  </si>
  <si>
    <t xml:space="preserve">  valor actual con base en tasa de mercado</t>
  </si>
  <si>
    <t>Saldo del préstamos</t>
  </si>
  <si>
    <t>Fecha de vencimiento</t>
  </si>
  <si>
    <t>Fecha otorgo</t>
  </si>
  <si>
    <t>Tasa de mercado</t>
  </si>
  <si>
    <t xml:space="preserve">EA </t>
  </si>
  <si>
    <t>Capital</t>
  </si>
  <si>
    <t>Interes</t>
  </si>
  <si>
    <t>Dias</t>
  </si>
  <si>
    <t>Fecha de corte</t>
  </si>
  <si>
    <t>Valor actual NIIF</t>
  </si>
  <si>
    <t>Ajuste para llevar  a NIIF</t>
  </si>
  <si>
    <t>Cr. Préstamos</t>
  </si>
  <si>
    <t>Ajuste valorativo</t>
  </si>
  <si>
    <t>Ajuste por valoración de préstamos a terceros</t>
  </si>
  <si>
    <t>SI</t>
  </si>
  <si>
    <t>ENERO</t>
  </si>
  <si>
    <t>FEBRERO</t>
  </si>
  <si>
    <t>MARZO</t>
  </si>
  <si>
    <t>ABRIL</t>
  </si>
  <si>
    <t>Pagos</t>
  </si>
  <si>
    <t>SF</t>
  </si>
  <si>
    <t>PROVISIÓN PAR DEUDORES:</t>
  </si>
  <si>
    <t>Análisis:</t>
  </si>
  <si>
    <t>Se toma cada cliente y se analizan los factores que afecten su pago futuro de acuerdo con las condiciones existentes a la fecha</t>
  </si>
  <si>
    <t>Saldo de la provisión local</t>
  </si>
  <si>
    <t>Cálculo NIIF estadístico</t>
  </si>
  <si>
    <t>Ajuste para llevar a NIIF</t>
  </si>
  <si>
    <t>Cr.Provisión para CXC</t>
  </si>
  <si>
    <t>Ajuste de la provisión para cxc</t>
  </si>
  <si>
    <t>MATERIA PRIMA</t>
  </si>
  <si>
    <t>Cita Técnica</t>
  </si>
  <si>
    <t>NIC 2</t>
  </si>
  <si>
    <t>NIC 2    -  NIC21</t>
  </si>
  <si>
    <t>Saldo libros local</t>
  </si>
  <si>
    <t>% de diferencia en cambio</t>
  </si>
  <si>
    <t>Diferencia en cambio</t>
  </si>
  <si>
    <t>Diferencia en cambio a eliminar</t>
  </si>
  <si>
    <t>Cr. Inventarios de MP</t>
  </si>
  <si>
    <t>Dr.  Ganancias retenidas</t>
  </si>
  <si>
    <t>Elimina diferencia en cambio en MP</t>
  </si>
  <si>
    <t>PRODUCTO EN PROCESO</t>
  </si>
  <si>
    <t>Saldo en libros</t>
  </si>
  <si>
    <t>% de avance</t>
  </si>
  <si>
    <t>MP</t>
  </si>
  <si>
    <t>A eliminar diferencia en cambio de PP</t>
  </si>
  <si>
    <t>Cr. Inventarios</t>
  </si>
  <si>
    <t>PP</t>
  </si>
  <si>
    <t>Elimina diferencia en cambio consumidA en PP</t>
  </si>
  <si>
    <t>PRODUCTO TERMINADO</t>
  </si>
  <si>
    <t>NIC 2  - NIC 21</t>
  </si>
  <si>
    <t>Saldo local:</t>
  </si>
  <si>
    <t>Producción de diciembre</t>
  </si>
  <si>
    <t>Producción antigua</t>
  </si>
  <si>
    <t>1. Cálculo de la diferencia en cambio a eliminar:</t>
  </si>
  <si>
    <t>Saldo del inventarios</t>
  </si>
  <si>
    <t>% de MP</t>
  </si>
  <si>
    <t>Materia prima en el PT</t>
  </si>
  <si>
    <t>2. Ajuste de la eliminación de la diferencia en cambio</t>
  </si>
  <si>
    <t>PT</t>
  </si>
  <si>
    <t>3. Reasignar los costos fijos:</t>
  </si>
  <si>
    <t>producción estimada 2013</t>
  </si>
  <si>
    <t>Costos fijos del año 2013</t>
  </si>
  <si>
    <t>Tasa de asignación de los CF</t>
  </si>
  <si>
    <t>Composición del PT:</t>
  </si>
  <si>
    <t>MO</t>
  </si>
  <si>
    <t>CIFV</t>
  </si>
  <si>
    <t>CF</t>
  </si>
  <si>
    <t>Total</t>
  </si>
  <si>
    <t>Cantidad producida en diciembre</t>
  </si>
  <si>
    <t>CF Por unidad</t>
  </si>
  <si>
    <t>Costo fijo total a asignara</t>
  </si>
  <si>
    <t>CR. Inventario</t>
  </si>
  <si>
    <t>Producc. Dic</t>
  </si>
  <si>
    <t>Saldo antiguos</t>
  </si>
  <si>
    <t>Saldo local</t>
  </si>
  <si>
    <t>Elimina diferencia en cambio</t>
  </si>
  <si>
    <t>Elimina CF no asignable</t>
  </si>
  <si>
    <t>Saldo neto</t>
  </si>
  <si>
    <t>Cantidades</t>
  </si>
  <si>
    <t>Costo unitario</t>
  </si>
  <si>
    <t>VNR:</t>
  </si>
  <si>
    <t>PV</t>
  </si>
  <si>
    <t>Gastos de venta</t>
  </si>
  <si>
    <t>Valor de gtos de venta</t>
  </si>
  <si>
    <t>VNR</t>
  </si>
  <si>
    <t>No</t>
  </si>
  <si>
    <t>Hay pérdida de valor?</t>
  </si>
  <si>
    <t>Si</t>
  </si>
  <si>
    <t>Valor de la pérdida por unidad</t>
  </si>
  <si>
    <t>Pérdida total</t>
  </si>
  <si>
    <t>Elimina diferencia en cambio en PT</t>
  </si>
  <si>
    <t>Elimina CF no asignables a PT</t>
  </si>
  <si>
    <t>Ajuste al VNR</t>
  </si>
  <si>
    <t>MERCANCIAS PARA LA VENTA</t>
  </si>
  <si>
    <t>Cita técnia</t>
  </si>
  <si>
    <t>% de descuentos financiero tomado</t>
  </si>
  <si>
    <t>Valor del descuento financiero</t>
  </si>
  <si>
    <t>Se registró localmente como ingresos financieros</t>
  </si>
  <si>
    <t>Mercancías</t>
  </si>
  <si>
    <t>Ajuste por descuentos PP en mercancias</t>
  </si>
  <si>
    <t>MATERIALES. REPUESTOS Y ACCESORIOS</t>
  </si>
  <si>
    <t>Cita tecnica:</t>
  </si>
  <si>
    <t>NIC 2   NIC 16</t>
  </si>
  <si>
    <t>Kit</t>
  </si>
  <si>
    <t>Repuestos de consumo en eñ año</t>
  </si>
  <si>
    <t>Repuesto menores consumo inmediato</t>
  </si>
  <si>
    <t>PPE</t>
  </si>
  <si>
    <t>Ganancias retenidas</t>
  </si>
  <si>
    <t>Valoración a valor razonable del kit:</t>
  </si>
  <si>
    <t>Costo bruto</t>
  </si>
  <si>
    <t>DA</t>
  </si>
  <si>
    <t>Neto</t>
  </si>
  <si>
    <t>Ajustes para llevar a Niif</t>
  </si>
  <si>
    <t>Cr. DA</t>
  </si>
  <si>
    <t>DR. Ganancias retenidas</t>
  </si>
  <si>
    <t xml:space="preserve">   Repuestos</t>
  </si>
  <si>
    <t xml:space="preserve">  Depreciación acumulada repuestos</t>
  </si>
  <si>
    <t>Ajuste de repuestos menores</t>
  </si>
  <si>
    <t>Ajuste a valor razonable de repuestos mayores</t>
  </si>
  <si>
    <t>INMUEBLES</t>
  </si>
  <si>
    <t>Uso de exenciones:</t>
  </si>
  <si>
    <t>NIC 16  - NIC 40</t>
  </si>
  <si>
    <t xml:space="preserve">Se usará el valor razonable como cosot atribuido </t>
  </si>
  <si>
    <t>Terrenos</t>
  </si>
  <si>
    <t>CB</t>
  </si>
  <si>
    <t>Edificio de oficinas</t>
  </si>
  <si>
    <t>Inmueble en arriendo operativo</t>
  </si>
  <si>
    <t>Avalúo</t>
  </si>
  <si>
    <t>Traslado a Propiedad de inversión</t>
  </si>
  <si>
    <t>Mantiene en PPE</t>
  </si>
  <si>
    <t>Superavit</t>
  </si>
  <si>
    <t>Ajuste para llevar  a NIIF:</t>
  </si>
  <si>
    <t>Construcciones</t>
  </si>
  <si>
    <t>Cr PPE</t>
  </si>
  <si>
    <t>Dr. DA</t>
  </si>
  <si>
    <t>cr. Superavit x revalaución</t>
  </si>
  <si>
    <t xml:space="preserve">   Terrenos</t>
  </si>
  <si>
    <t xml:space="preserve">  Superavit x revalaución de PPE</t>
  </si>
  <si>
    <t>Ajuste a valor razonble de inmuebles en arriendi operativó</t>
  </si>
  <si>
    <t>Dr. Propiedades de inversión</t>
  </si>
  <si>
    <t>MAQUINARIA</t>
  </si>
  <si>
    <t>Avalúo técnico</t>
  </si>
  <si>
    <t>Ajuste para llevar  NIIF:</t>
  </si>
  <si>
    <t>Dr.PPE</t>
  </si>
  <si>
    <t>Maquinaria</t>
  </si>
  <si>
    <t>Cr. PPE</t>
  </si>
  <si>
    <t>Cr. Superavit</t>
  </si>
  <si>
    <t>Cálculo de los costos de desmantelamiento:</t>
  </si>
  <si>
    <t>Costos a hoy</t>
  </si>
  <si>
    <t>Tasa esperado de crecimiento costos</t>
  </si>
  <si>
    <t>Anual</t>
  </si>
  <si>
    <t>Años para el desmantelamiento</t>
  </si>
  <si>
    <t>Valor futuro esperado</t>
  </si>
  <si>
    <t>Tasa de descuento</t>
  </si>
  <si>
    <t>Años para el descuento a la fecha de transición</t>
  </si>
  <si>
    <t>Años de uso del activo</t>
  </si>
  <si>
    <t>Cr. Provisión para desmantelamiento</t>
  </si>
  <si>
    <t>Cálculo de la depreciación del costo de desamntelamiento:</t>
  </si>
  <si>
    <t>Costo</t>
  </si>
  <si>
    <t>No. De años a depreciar</t>
  </si>
  <si>
    <t>Depreciación anual</t>
  </si>
  <si>
    <t>Años transcurridos</t>
  </si>
  <si>
    <t>Depreciación a reconocer</t>
  </si>
  <si>
    <t>CR. DA</t>
  </si>
  <si>
    <t xml:space="preserve">  Para desmantelamiento</t>
  </si>
  <si>
    <t>Ajuste por provisipon desmantelamiento</t>
  </si>
  <si>
    <t>Depreciación del costo de desmantelamiento</t>
  </si>
  <si>
    <t>Elimnación de los AXI</t>
  </si>
  <si>
    <t>AXI</t>
  </si>
  <si>
    <t>Eliminan los AXI de PPE</t>
  </si>
  <si>
    <t>OTROS ACTIVOS</t>
  </si>
  <si>
    <t>NIC 38</t>
  </si>
  <si>
    <t>Saldo al 31 de diciembre de 2013 local:</t>
  </si>
  <si>
    <t>Se mantiene</t>
  </si>
  <si>
    <t>Se elimina</t>
  </si>
  <si>
    <t>Dr. Ganancias  retenidas</t>
  </si>
  <si>
    <t>Cr. Diferidos</t>
  </si>
  <si>
    <t>C.r Otros activos</t>
  </si>
  <si>
    <t>Dr. Superavit x valoriza</t>
  </si>
  <si>
    <t>Cr. Valorizaciones</t>
  </si>
  <si>
    <t>Elimina cargos diferidos</t>
  </si>
  <si>
    <t>Ajustes por inflación</t>
  </si>
  <si>
    <t>Método de participación</t>
  </si>
  <si>
    <t>SALDO INVERSIÓN PCGA</t>
  </si>
  <si>
    <t>INVERSIONES EN CONTROLADAS</t>
  </si>
  <si>
    <t>Saldo en libros local:</t>
  </si>
  <si>
    <t>Elimina</t>
  </si>
  <si>
    <t>Se van a valorar al costo</t>
  </si>
  <si>
    <t>Superavit x MPP</t>
  </si>
  <si>
    <t>Dr. Superavit</t>
  </si>
  <si>
    <t>Cr. Inversiones permanentes</t>
  </si>
  <si>
    <t>MPP</t>
  </si>
  <si>
    <t>En controladas</t>
  </si>
  <si>
    <t xml:space="preserve">  En controladas</t>
  </si>
  <si>
    <t>Ajuste de inversiones en controladas</t>
  </si>
  <si>
    <t>ELABORACIÓN DEL ESTADO DE SITUACIÓN FINANCIERA DE APERTURA</t>
  </si>
  <si>
    <t>ARRENDAMIENTO FINANCIERO</t>
  </si>
  <si>
    <r>
      <t>La Compañía es</t>
    </r>
    <r>
      <rPr>
        <b/>
        <u val="singleAccounting"/>
        <sz val="11"/>
        <color indexed="62"/>
        <rFont val="Calibri"/>
        <family val="2"/>
      </rPr>
      <t xml:space="preserve"> arrendataria</t>
    </r>
    <r>
      <rPr>
        <b/>
        <sz val="11"/>
        <color indexed="62"/>
        <rFont val="Calibri"/>
        <family val="2"/>
      </rPr>
      <t xml:space="preserve"> - Arrendamiento financiero bajo NIIF</t>
    </r>
  </si>
  <si>
    <t>1. Detalles del contrato Leasing Operativo bajo PCGA locales:</t>
  </si>
  <si>
    <t>Fecha inicio del arrendamiento:</t>
  </si>
  <si>
    <t>Se clasificará el arrendamiento como operativo o como financiero según NIC 17</t>
  </si>
  <si>
    <t>Tipo de bien:</t>
  </si>
  <si>
    <t>Vehículo</t>
  </si>
  <si>
    <t>Valor razonable:</t>
  </si>
  <si>
    <t>Plazo del arrendamiento:</t>
  </si>
  <si>
    <t>Opción de compra:</t>
  </si>
  <si>
    <t>del valor razonable</t>
  </si>
  <si>
    <t>Tasa de interés:</t>
  </si>
  <si>
    <t>mensual</t>
  </si>
  <si>
    <t>Cuota mensual:</t>
  </si>
  <si>
    <t>Comienzo del plazo del arrendamiento:</t>
  </si>
  <si>
    <t>Es la fecha a partir de la cual el arrendatario tiene el derecho de utilizar el activo arrendado. Es la fecha del reconocimiento inicial del arrendamiento según NIC 17.</t>
  </si>
  <si>
    <t>Vida económica vehículo</t>
  </si>
  <si>
    <t>2. Cálculo del valor actual:</t>
  </si>
  <si>
    <t>Cuotas</t>
  </si>
  <si>
    <t>Fórmula Excel</t>
  </si>
  <si>
    <t>VPN</t>
  </si>
  <si>
    <t>3. Lista de validación arrendamiento operativo o financiero conforme NIC 17:</t>
  </si>
  <si>
    <t>Hay opción de compra</t>
  </si>
  <si>
    <t>Vida económica similar al tiempo del contrato</t>
  </si>
  <si>
    <t>Vida económica vs vida útil</t>
  </si>
  <si>
    <t>Valor presente similar al valor razonable</t>
  </si>
  <si>
    <t>Valor razonable vs VPN canones</t>
  </si>
  <si>
    <t>Conclusión:</t>
  </si>
  <si>
    <t>Por el plazo, la opción de compra y el VPN con respecto al VR se concluye que es financiero.</t>
  </si>
  <si>
    <t>Determinación del menor entre valor razonable y valor actual:</t>
  </si>
  <si>
    <t>Valor presente</t>
  </si>
  <si>
    <t>Valor razonable</t>
  </si>
  <si>
    <t>Menor de los dos</t>
  </si>
  <si>
    <t>4. Determinar valor de la PP&amp;E y depreciación acumulada a balance de apertura:</t>
  </si>
  <si>
    <t>meses de vida útil</t>
  </si>
  <si>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si existe opción de compra se deprecia en vida útil técnica y no plazo del contrato</t>
    </r>
  </si>
  <si>
    <t>mes</t>
  </si>
  <si>
    <t>meses transcurridos a balance de apertura</t>
  </si>
  <si>
    <t>5. Determinación de una tasa de interés constante para el arrendatario para causar los intereses sobre la deuda:</t>
  </si>
  <si>
    <t>5.1. Hallar los flujos</t>
  </si>
  <si>
    <t>Períodos</t>
  </si>
  <si>
    <t>Flujos</t>
  </si>
  <si>
    <t>5.2. Hallar la tasa de interés constante, es un TIR</t>
  </si>
  <si>
    <t>6. Causar los intereses y determinar el saldo del pasivo en el arrendatario:</t>
  </si>
  <si>
    <t>Meses</t>
  </si>
  <si>
    <t>Saldo inicial</t>
  </si>
  <si>
    <t>Causar interes</t>
  </si>
  <si>
    <t>Saldo final</t>
  </si>
  <si>
    <t>Más opción de compra</t>
  </si>
  <si>
    <t>6. Reconocimiento en balance de apertura de activo y pasivo:</t>
  </si>
  <si>
    <t xml:space="preserve"> Db. </t>
  </si>
  <si>
    <t xml:space="preserve"> Cr. </t>
  </si>
  <si>
    <t xml:space="preserve"> Dep. Acumulada - Vehículo</t>
  </si>
  <si>
    <t>Sumas iguales</t>
  </si>
  <si>
    <t>CR. OF</t>
  </si>
  <si>
    <t xml:space="preserve">  Vehículo</t>
  </si>
  <si>
    <t>Incorpora bienes en arrendamiento financiero</t>
  </si>
  <si>
    <t>OBLIGACIONES FINANCIERAS</t>
  </si>
  <si>
    <t>Fecha del préstamo</t>
  </si>
  <si>
    <t>Vence</t>
  </si>
  <si>
    <t xml:space="preserve">Valor </t>
  </si>
  <si>
    <t>CT</t>
  </si>
  <si>
    <t>Cálculos para llevar a NIIF:</t>
  </si>
  <si>
    <t>Flujo inicial:</t>
  </si>
  <si>
    <t>Valor recibido</t>
  </si>
  <si>
    <t>Menos: CT</t>
  </si>
  <si>
    <t>Pagos futuros:</t>
  </si>
  <si>
    <t>Valoración al 31 de diciembre de 2013 para llevar a NIIF:</t>
  </si>
  <si>
    <t>Dias a descontar</t>
  </si>
  <si>
    <t>Ajuste a NIIF</t>
  </si>
  <si>
    <t>Valoración de obligaciones financieras</t>
  </si>
  <si>
    <t>CRÉDITO DE PARTICULARES:</t>
  </si>
  <si>
    <t>Fecha de pago</t>
  </si>
  <si>
    <t>Valor a pagar:</t>
  </si>
  <si>
    <t>Pago de interes</t>
  </si>
  <si>
    <t>Fechas</t>
  </si>
  <si>
    <t>Lib ros</t>
  </si>
  <si>
    <t>Dr. OF</t>
  </si>
  <si>
    <t>Valoración de obligaciones con terceros</t>
  </si>
  <si>
    <t>PASIVOS LABORALES</t>
  </si>
  <si>
    <t>Se procede a la valoración del pasivo a largo plazo con base en el método de la unidad de crédito proyectada.</t>
  </si>
  <si>
    <t>Valoración prima  de antigüedad por método de la unidad de crédito proyectada:</t>
  </si>
  <si>
    <t>Vence 2018</t>
  </si>
  <si>
    <t>Vence 2017</t>
  </si>
  <si>
    <t>Vence 2016</t>
  </si>
  <si>
    <t>Vence 2015</t>
  </si>
  <si>
    <t>Vence 2014</t>
  </si>
  <si>
    <t>N° de empleados</t>
  </si>
  <si>
    <t>Salario incial</t>
  </si>
  <si>
    <t>Tasa crecimiento salario</t>
  </si>
  <si>
    <t>N° años  para prima</t>
  </si>
  <si>
    <t>Salario esperado fecha de pago</t>
  </si>
  <si>
    <t>Prima esperada valor futuro</t>
  </si>
  <si>
    <t>Año</t>
  </si>
  <si>
    <t>Valor prima</t>
  </si>
  <si>
    <t>Tasa descuento</t>
  </si>
  <si>
    <t>Valor anual</t>
  </si>
  <si>
    <t>Valor por causar</t>
  </si>
  <si>
    <t>Valor del pasivo</t>
  </si>
  <si>
    <t>Ajuste de conversión pasivos laborales: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</si>
</sst>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_);[Red]\(&quot;$&quot;\ #,##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0.000%"/>
    <numFmt numFmtId="167" formatCode="0.0000%"/>
    <numFmt numFmtId="168" formatCode="0.000"/>
    <numFmt numFmtId="169" formatCode="_(&quot;$&quot;\ * #,##0_);_(&quot;$&quot;\ * \(#,##0\);_(&quot;$&quot;\ 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u/>
      <sz val="11"/>
      <color rgb="FF000099"/>
      <name val="Calibri"/>
      <family val="2"/>
      <scheme val="minor"/>
    </font>
    <font>
      <b/>
      <u/>
      <sz val="10"/>
      <color rgb="FF000099"/>
      <name val="Arial"/>
      <family val="2"/>
    </font>
    <font>
      <sz val="10"/>
      <color rgb="FF000099"/>
      <name val="Arial"/>
      <family val="2"/>
    </font>
    <font>
      <b/>
      <sz val="10"/>
      <color rgb="FF000099"/>
      <name val="Arial"/>
      <family val="2"/>
    </font>
    <font>
      <sz val="11"/>
      <color theme="3"/>
      <name val="Calibri"/>
      <family val="2"/>
      <scheme val="minor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u val="singleAccounting"/>
      <sz val="11"/>
      <color indexed="62"/>
      <name val="Calibri"/>
      <family val="2"/>
    </font>
    <font>
      <b/>
      <sz val="11"/>
      <color indexed="62"/>
      <name val="Calibri"/>
      <family val="2"/>
    </font>
    <font>
      <sz val="8"/>
      <color theme="3"/>
      <name val="Calibri"/>
      <family val="2"/>
      <scheme val="minor"/>
    </font>
    <font>
      <b/>
      <u val="singleAccounting"/>
      <sz val="11"/>
      <color theme="3"/>
      <name val="Calibri"/>
      <family val="2"/>
      <scheme val="minor"/>
    </font>
    <font>
      <b/>
      <sz val="11"/>
      <color indexed="8"/>
      <name val="Calibri"/>
      <family val="2"/>
    </font>
    <font>
      <u val="singleAccounting"/>
      <sz val="11"/>
      <color rgb="FF1F497D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3"/>
      <name val="Calibri"/>
      <family val="2"/>
      <scheme val="minor"/>
    </font>
    <font>
      <u val="singleAccounting"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ill="1"/>
    <xf numFmtId="0" fontId="4" fillId="0" borderId="0" xfId="0" applyFont="1" applyFill="1"/>
    <xf numFmtId="3" fontId="0" fillId="0" borderId="0" xfId="0" applyNumberFormat="1" applyFill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7" fillId="0" borderId="0" xfId="0" applyNumberFormat="1" applyFont="1" applyFill="1"/>
    <xf numFmtId="3" fontId="6" fillId="0" borderId="0" xfId="0" applyNumberFormat="1" applyFont="1" applyFill="1"/>
    <xf numFmtId="3" fontId="4" fillId="0" borderId="0" xfId="1" applyNumberFormat="1" applyFont="1" applyFill="1"/>
    <xf numFmtId="3" fontId="7" fillId="0" borderId="1" xfId="1" applyNumberFormat="1" applyFont="1" applyFill="1" applyBorder="1"/>
    <xf numFmtId="3" fontId="7" fillId="0" borderId="0" xfId="1" applyNumberFormat="1" applyFont="1" applyFill="1" applyBorder="1"/>
    <xf numFmtId="3" fontId="4" fillId="0" borderId="2" xfId="0" applyNumberFormat="1" applyFont="1" applyFill="1" applyBorder="1"/>
    <xf numFmtId="3" fontId="1" fillId="0" borderId="0" xfId="1" applyNumberFormat="1" applyFont="1" applyFill="1"/>
    <xf numFmtId="3" fontId="7" fillId="0" borderId="0" xfId="1" applyNumberFormat="1" applyFont="1" applyFill="1" applyAlignment="1">
      <alignment horizontal="right"/>
    </xf>
    <xf numFmtId="3" fontId="4" fillId="0" borderId="3" xfId="1" applyNumberFormat="1" applyFont="1" applyFill="1" applyBorder="1"/>
    <xf numFmtId="0" fontId="8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164" fontId="9" fillId="0" borderId="0" xfId="1" applyNumberFormat="1" applyFont="1" applyFill="1"/>
    <xf numFmtId="164" fontId="10" fillId="0" borderId="0" xfId="1" applyNumberFormat="1" applyFont="1" applyFill="1"/>
    <xf numFmtId="164" fontId="12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right"/>
    </xf>
    <xf numFmtId="164" fontId="14" fillId="0" borderId="0" xfId="1" applyNumberFormat="1" applyFont="1" applyFill="1" applyAlignment="1">
      <alignment horizontal="right"/>
    </xf>
    <xf numFmtId="0" fontId="14" fillId="0" borderId="0" xfId="0" applyFont="1" applyFill="1"/>
    <xf numFmtId="0" fontId="13" fillId="0" borderId="0" xfId="0" applyFont="1" applyFill="1"/>
    <xf numFmtId="0" fontId="14" fillId="0" borderId="0" xfId="0" applyFont="1" applyFill="1" applyBorder="1"/>
    <xf numFmtId="0" fontId="9" fillId="0" borderId="0" xfId="0" applyFont="1" applyFill="1"/>
    <xf numFmtId="0" fontId="2" fillId="0" borderId="0" xfId="0" applyFont="1" applyFill="1" applyBorder="1"/>
    <xf numFmtId="0" fontId="15" fillId="0" borderId="0" xfId="0" applyFont="1" applyFill="1" applyBorder="1"/>
    <xf numFmtId="0" fontId="2" fillId="0" borderId="0" xfId="0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3" fontId="15" fillId="0" borderId="0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0" xfId="0" applyFont="1"/>
    <xf numFmtId="0" fontId="18" fillId="0" borderId="0" xfId="0" applyFont="1" applyFill="1" applyBorder="1"/>
    <xf numFmtId="3" fontId="19" fillId="0" borderId="0" xfId="0" applyNumberFormat="1" applyFont="1" applyFill="1" applyBorder="1"/>
    <xf numFmtId="3" fontId="15" fillId="0" borderId="2" xfId="0" applyNumberFormat="1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165" fontId="21" fillId="0" borderId="0" xfId="2" applyNumberFormat="1" applyFont="1"/>
    <xf numFmtId="165" fontId="21" fillId="0" borderId="4" xfId="2" applyNumberFormat="1" applyFont="1" applyBorder="1"/>
    <xf numFmtId="165" fontId="20" fillId="0" borderId="2" xfId="2" applyNumberFormat="1" applyFont="1" applyBorder="1"/>
    <xf numFmtId="165" fontId="20" fillId="0" borderId="2" xfId="0" applyNumberFormat="1" applyFont="1" applyBorder="1"/>
    <xf numFmtId="0" fontId="15" fillId="2" borderId="0" xfId="0" applyFont="1" applyFill="1" applyBorder="1"/>
    <xf numFmtId="0" fontId="2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/>
    <xf numFmtId="0" fontId="21" fillId="2" borderId="0" xfId="0" applyFont="1" applyFill="1"/>
    <xf numFmtId="0" fontId="20" fillId="2" borderId="0" xfId="0" applyFont="1" applyFill="1"/>
    <xf numFmtId="0" fontId="17" fillId="2" borderId="0" xfId="0" applyFont="1" applyFill="1" applyBorder="1"/>
    <xf numFmtId="0" fontId="4" fillId="0" borderId="0" xfId="0" applyFont="1"/>
    <xf numFmtId="43" fontId="0" fillId="0" borderId="0" xfId="1" applyFont="1"/>
    <xf numFmtId="164" fontId="4" fillId="0" borderId="0" xfId="1" applyNumberFormat="1" applyFont="1"/>
    <xf numFmtId="164" fontId="0" fillId="0" borderId="0" xfId="1" applyNumberFormat="1" applyFont="1"/>
    <xf numFmtId="164" fontId="4" fillId="0" borderId="2" xfId="1" applyNumberFormat="1" applyFont="1" applyBorder="1"/>
    <xf numFmtId="14" fontId="0" fillId="0" borderId="0" xfId="0" applyNumberFormat="1"/>
    <xf numFmtId="9" fontId="0" fillId="0" borderId="0" xfId="0" applyNumberFormat="1"/>
    <xf numFmtId="166" fontId="0" fillId="0" borderId="0" xfId="3" applyNumberFormat="1" applyFont="1"/>
    <xf numFmtId="167" fontId="0" fillId="0" borderId="0" xfId="3" applyNumberFormat="1" applyFont="1"/>
    <xf numFmtId="164" fontId="0" fillId="0" borderId="0" xfId="0" applyNumberFormat="1"/>
    <xf numFmtId="164" fontId="4" fillId="0" borderId="0" xfId="0" applyNumberFormat="1" applyFont="1"/>
    <xf numFmtId="164" fontId="4" fillId="0" borderId="2" xfId="0" applyNumberFormat="1" applyFont="1" applyBorder="1"/>
    <xf numFmtId="164" fontId="9" fillId="0" borderId="2" xfId="1" applyNumberFormat="1" applyFont="1" applyFill="1" applyBorder="1"/>
    <xf numFmtId="0" fontId="4" fillId="0" borderId="2" xfId="0" applyFont="1" applyBorder="1"/>
    <xf numFmtId="168" fontId="0" fillId="0" borderId="0" xfId="0" applyNumberFormat="1"/>
    <xf numFmtId="2" fontId="0" fillId="0" borderId="0" xfId="0" applyNumberFormat="1"/>
    <xf numFmtId="6" fontId="0" fillId="0" borderId="0" xfId="0" applyNumberFormat="1"/>
    <xf numFmtId="6" fontId="4" fillId="0" borderId="0" xfId="0" applyNumberFormat="1" applyFont="1"/>
    <xf numFmtId="0" fontId="2" fillId="0" borderId="0" xfId="0" applyFont="1" applyFill="1"/>
    <xf numFmtId="0" fontId="0" fillId="0" borderId="0" xfId="0" applyFont="1"/>
    <xf numFmtId="164" fontId="15" fillId="0" borderId="0" xfId="0" applyNumberFormat="1" applyFont="1" applyFill="1"/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5" xfId="0" applyFont="1" applyFill="1" applyBorder="1" applyAlignment="1">
      <alignment horizontal="left" vertical="center" wrapText="1"/>
    </xf>
    <xf numFmtId="14" fontId="15" fillId="0" borderId="5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right"/>
    </xf>
    <xf numFmtId="169" fontId="15" fillId="0" borderId="5" xfId="4" applyNumberFormat="1" applyFont="1" applyFill="1" applyBorder="1" applyAlignment="1">
      <alignment horizontal="left"/>
    </xf>
    <xf numFmtId="164" fontId="15" fillId="0" borderId="5" xfId="1" applyNumberFormat="1" applyFont="1" applyFill="1" applyBorder="1" applyAlignment="1">
      <alignment horizontal="left"/>
    </xf>
    <xf numFmtId="9" fontId="15" fillId="0" borderId="5" xfId="3" applyFont="1" applyFill="1" applyBorder="1" applyAlignment="1">
      <alignment horizontal="right"/>
    </xf>
    <xf numFmtId="10" fontId="15" fillId="0" borderId="5" xfId="3" applyNumberFormat="1" applyFont="1" applyFill="1" applyBorder="1" applyAlignment="1">
      <alignment horizontal="right"/>
    </xf>
    <xf numFmtId="164" fontId="27" fillId="0" borderId="0" xfId="1" applyNumberFormat="1" applyFont="1" applyAlignment="1">
      <alignment horizontal="center"/>
    </xf>
    <xf numFmtId="164" fontId="15" fillId="0" borderId="0" xfId="1" applyNumberFormat="1" applyFont="1"/>
    <xf numFmtId="164" fontId="1" fillId="0" borderId="0" xfId="1" applyNumberFormat="1" applyFont="1"/>
    <xf numFmtId="164" fontId="23" fillId="0" borderId="0" xfId="0" applyNumberFormat="1" applyFont="1"/>
    <xf numFmtId="164" fontId="15" fillId="0" borderId="4" xfId="1" applyNumberFormat="1" applyFont="1" applyBorder="1"/>
    <xf numFmtId="164" fontId="1" fillId="0" borderId="4" xfId="1" applyNumberFormat="1" applyFont="1" applyBorder="1"/>
    <xf numFmtId="164" fontId="2" fillId="0" borderId="0" xfId="1" applyNumberFormat="1" applyFont="1"/>
    <xf numFmtId="169" fontId="1" fillId="0" borderId="0" xfId="4" applyNumberFormat="1" applyFont="1"/>
    <xf numFmtId="9" fontId="1" fillId="0" borderId="0" xfId="3" applyFont="1"/>
    <xf numFmtId="0" fontId="2" fillId="0" borderId="0" xfId="0" applyFont="1"/>
    <xf numFmtId="0" fontId="15" fillId="0" borderId="0" xfId="0" applyFont="1"/>
    <xf numFmtId="9" fontId="15" fillId="0" borderId="0" xfId="3" applyFont="1"/>
    <xf numFmtId="14" fontId="2" fillId="0" borderId="0" xfId="0" applyNumberFormat="1" applyFont="1"/>
    <xf numFmtId="169" fontId="0" fillId="0" borderId="0" xfId="0" applyNumberFormat="1" applyFont="1"/>
    <xf numFmtId="164" fontId="0" fillId="0" borderId="4" xfId="0" applyNumberFormat="1" applyFont="1" applyBorder="1"/>
    <xf numFmtId="169" fontId="4" fillId="0" borderId="0" xfId="4" applyNumberFormat="1" applyFont="1"/>
    <xf numFmtId="1" fontId="2" fillId="0" borderId="0" xfId="0" applyNumberFormat="1" applyFont="1"/>
    <xf numFmtId="166" fontId="2" fillId="0" borderId="5" xfId="3" applyNumberFormat="1" applyFont="1" applyBorder="1"/>
    <xf numFmtId="164" fontId="15" fillId="3" borderId="0" xfId="1" applyNumberFormat="1" applyFont="1" applyFill="1"/>
    <xf numFmtId="0" fontId="0" fillId="3" borderId="0" xfId="0" applyFont="1" applyFill="1"/>
    <xf numFmtId="164" fontId="29" fillId="0" borderId="0" xfId="0" applyNumberFormat="1" applyFont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4" fontId="2" fillId="0" borderId="6" xfId="1" applyNumberFormat="1" applyFont="1" applyBorder="1"/>
    <xf numFmtId="164" fontId="15" fillId="2" borderId="0" xfId="1" applyNumberFormat="1" applyFont="1" applyFill="1"/>
    <xf numFmtId="0" fontId="15" fillId="0" borderId="0" xfId="0" applyFont="1" applyFill="1"/>
    <xf numFmtId="164" fontId="2" fillId="0" borderId="0" xfId="0" applyNumberFormat="1" applyFont="1" applyFill="1"/>
    <xf numFmtId="0" fontId="31" fillId="0" borderId="0" xfId="0" applyFont="1" applyFill="1" applyAlignment="1">
      <alignment horizontal="center" wrapText="1"/>
    </xf>
    <xf numFmtId="0" fontId="2" fillId="0" borderId="7" xfId="0" applyFont="1" applyFill="1" applyBorder="1"/>
    <xf numFmtId="0" fontId="15" fillId="0" borderId="3" xfId="0" applyFont="1" applyFill="1" applyBorder="1"/>
    <xf numFmtId="0" fontId="15" fillId="0" borderId="8" xfId="0" applyFont="1" applyFill="1" applyBorder="1"/>
    <xf numFmtId="0" fontId="15" fillId="0" borderId="9" xfId="0" applyFont="1" applyFill="1" applyBorder="1"/>
    <xf numFmtId="0" fontId="31" fillId="0" borderId="0" xfId="0" applyFont="1" applyFill="1" applyBorder="1"/>
    <xf numFmtId="0" fontId="31" fillId="0" borderId="10" xfId="0" applyFont="1" applyFill="1" applyBorder="1"/>
    <xf numFmtId="0" fontId="15" fillId="0" borderId="10" xfId="0" applyFont="1" applyFill="1" applyBorder="1"/>
    <xf numFmtId="165" fontId="15" fillId="0" borderId="0" xfId="2" applyNumberFormat="1" applyFont="1" applyFill="1" applyBorder="1"/>
    <xf numFmtId="165" fontId="15" fillId="0" borderId="10" xfId="2" applyNumberFormat="1" applyFont="1" applyFill="1" applyBorder="1"/>
    <xf numFmtId="9" fontId="15" fillId="0" borderId="0" xfId="0" applyNumberFormat="1" applyFont="1" applyFill="1" applyBorder="1"/>
    <xf numFmtId="9" fontId="15" fillId="0" borderId="10" xfId="0" applyNumberFormat="1" applyFont="1" applyFill="1" applyBorder="1"/>
    <xf numFmtId="0" fontId="15" fillId="0" borderId="4" xfId="0" applyFont="1" applyFill="1" applyBorder="1"/>
    <xf numFmtId="0" fontId="15" fillId="0" borderId="11" xfId="0" applyFont="1" applyFill="1" applyBorder="1"/>
    <xf numFmtId="164" fontId="2" fillId="0" borderId="0" xfId="1" applyNumberFormat="1" applyFont="1" applyFill="1" applyBorder="1"/>
    <xf numFmtId="164" fontId="2" fillId="0" borderId="10" xfId="1" applyNumberFormat="1" applyFont="1" applyFill="1" applyBorder="1"/>
    <xf numFmtId="164" fontId="15" fillId="0" borderId="0" xfId="0" applyNumberFormat="1" applyFont="1" applyFill="1" applyBorder="1"/>
    <xf numFmtId="10" fontId="15" fillId="0" borderId="0" xfId="0" applyNumberFormat="1" applyFont="1" applyFill="1" applyBorder="1"/>
    <xf numFmtId="6" fontId="15" fillId="0" borderId="0" xfId="0" applyNumberFormat="1" applyFont="1" applyFill="1" applyBorder="1"/>
    <xf numFmtId="6" fontId="2" fillId="0" borderId="2" xfId="0" applyNumberFormat="1" applyFont="1" applyFill="1" applyBorder="1"/>
    <xf numFmtId="0" fontId="15" fillId="0" borderId="12" xfId="0" applyFont="1" applyFill="1" applyBorder="1"/>
    <xf numFmtId="0" fontId="2" fillId="0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164" fontId="32" fillId="0" borderId="0" xfId="0" applyNumberFormat="1" applyFont="1" applyAlignment="1">
      <alignment horizontal="center"/>
    </xf>
    <xf numFmtId="164" fontId="32" fillId="0" borderId="10" xfId="0" applyNumberFormat="1" applyFont="1" applyBorder="1" applyAlignment="1">
      <alignment horizontal="center"/>
    </xf>
    <xf numFmtId="6" fontId="15" fillId="0" borderId="10" xfId="0" applyNumberFormat="1" applyFont="1" applyFill="1" applyBorder="1"/>
    <xf numFmtId="0" fontId="2" fillId="0" borderId="12" xfId="0" applyFont="1" applyFill="1" applyBorder="1"/>
    <xf numFmtId="0" fontId="2" fillId="0" borderId="4" xfId="0" applyFont="1" applyFill="1" applyBorder="1"/>
    <xf numFmtId="6" fontId="2" fillId="0" borderId="13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/>
    <xf numFmtId="0" fontId="2" fillId="0" borderId="0" xfId="0" applyFont="1" applyFill="1" applyBorder="1" applyAlignment="1">
      <alignment horizontal="center"/>
    </xf>
    <xf numFmtId="164" fontId="11" fillId="0" borderId="0" xfId="1" applyNumberFormat="1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Moneda 2" xf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ller%201%20Estado%20de%20Situacio&#769;n%20Financiera%20de%20Apertura_01ene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_General"/>
      <sheetName val="HT"/>
      <sheetName val="Efectivo"/>
      <sheetName val="CDT"/>
      <sheetName val="Inversiones Perman"/>
      <sheetName val="Fondo_Fiduciario"/>
      <sheetName val="CXC_Clientes"/>
      <sheetName val="Provisión_CxC"/>
      <sheetName val="Anticipos"/>
      <sheetName val="Reclamación"/>
      <sheetName val="Préstamo_Terceros"/>
      <sheetName val="Materia prima"/>
      <sheetName val="Producto en proceso"/>
      <sheetName val="Producto terminado"/>
      <sheetName val="Mercancías NFxE"/>
      <sheetName val="Repuestos"/>
      <sheetName val="CConstrucción"/>
      <sheetName val="Cultivo"/>
      <sheetName val="Semovientes"/>
      <sheetName val="Inmuebles"/>
      <sheetName val="Maquinaria"/>
      <sheetName val="Equipo Of"/>
      <sheetName val="AxI_PPyE"/>
      <sheetName val="Arrendamiento"/>
      <sheetName val="Seguros"/>
      <sheetName val="Publicidad"/>
      <sheetName val="Bienes de Arte"/>
      <sheetName val="Valorizaciones"/>
      <sheetName val="Obligación_Financiera"/>
      <sheetName val="Préstamos_Terceros"/>
      <sheetName val="Pasivos laborales"/>
      <sheetName val="Provisiones"/>
      <sheetName val="Revalorización pm"/>
      <sheetName val="ID"/>
    </sheetNames>
    <sheetDataSet>
      <sheetData sheetId="0"/>
      <sheetData sheetId="1">
        <row r="10">
          <cell r="B10">
            <v>950</v>
          </cell>
        </row>
        <row r="11">
          <cell r="B11">
            <v>2600</v>
          </cell>
        </row>
        <row r="12">
          <cell r="B12">
            <v>2400</v>
          </cell>
        </row>
        <row r="19">
          <cell r="B19">
            <v>13400</v>
          </cell>
        </row>
        <row r="20">
          <cell r="B20">
            <v>8000</v>
          </cell>
        </row>
        <row r="26">
          <cell r="B26">
            <v>35000</v>
          </cell>
        </row>
        <row r="30">
          <cell r="B30">
            <v>12000</v>
          </cell>
        </row>
        <row r="31">
          <cell r="B31">
            <v>-3500</v>
          </cell>
        </row>
        <row r="37">
          <cell r="B37">
            <v>6000</v>
          </cell>
        </row>
        <row r="38">
          <cell r="B38">
            <v>7000</v>
          </cell>
        </row>
        <row r="40">
          <cell r="B40">
            <v>35000</v>
          </cell>
        </row>
        <row r="41">
          <cell r="B41">
            <v>23000</v>
          </cell>
        </row>
        <row r="43">
          <cell r="B43">
            <v>5000</v>
          </cell>
        </row>
        <row r="55">
          <cell r="B55">
            <v>13000</v>
          </cell>
        </row>
        <row r="56">
          <cell r="B56">
            <v>54000</v>
          </cell>
        </row>
        <row r="57">
          <cell r="B57">
            <v>3000</v>
          </cell>
        </row>
        <row r="66">
          <cell r="A66" t="str">
            <v xml:space="preserve">  Vehículo (Arrendamiento financiero)</v>
          </cell>
        </row>
        <row r="70">
          <cell r="B70">
            <v>2000</v>
          </cell>
        </row>
        <row r="83">
          <cell r="B83">
            <v>32000</v>
          </cell>
        </row>
        <row r="84">
          <cell r="B84">
            <v>30000</v>
          </cell>
        </row>
        <row r="87">
          <cell r="A87" t="str">
            <v xml:space="preserve">  Pasivo - Arrendamiento financiero</v>
          </cell>
        </row>
        <row r="90">
          <cell r="B90">
            <v>36810</v>
          </cell>
        </row>
        <row r="93">
          <cell r="B93">
            <v>6800</v>
          </cell>
        </row>
        <row r="98">
          <cell r="B98">
            <v>2900</v>
          </cell>
        </row>
        <row r="99">
          <cell r="B99">
            <v>100</v>
          </cell>
        </row>
        <row r="104">
          <cell r="B104">
            <v>6000</v>
          </cell>
        </row>
        <row r="105">
          <cell r="B105">
            <v>5000</v>
          </cell>
        </row>
        <row r="109">
          <cell r="A109" t="str">
            <v xml:space="preserve">  Largo plazo - Prima de antigüedad</v>
          </cell>
        </row>
        <row r="117">
          <cell r="B117">
            <v>2000</v>
          </cell>
        </row>
        <row r="137">
          <cell r="A137" t="str">
            <v xml:space="preserve">  Ganancias retenidas</v>
          </cell>
        </row>
      </sheetData>
      <sheetData sheetId="2"/>
      <sheetData sheetId="3"/>
      <sheetData sheetId="4">
        <row r="22">
          <cell r="D22">
            <v>2550</v>
          </cell>
        </row>
        <row r="23">
          <cell r="D23">
            <v>120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B1" zoomScale="120" zoomScaleNormal="120" workbookViewId="0">
      <selection activeCell="C2" sqref="C2"/>
    </sheetView>
  </sheetViews>
  <sheetFormatPr baseColWidth="10" defaultRowHeight="15" x14ac:dyDescent="0.25"/>
  <cols>
    <col min="1" max="1" width="7.28515625" style="1" bestFit="1" customWidth="1"/>
    <col min="2" max="2" width="2.42578125" style="1" customWidth="1"/>
    <col min="3" max="3" width="38.7109375" style="1" customWidth="1"/>
    <col min="4" max="4" width="11.42578125" style="1"/>
    <col min="5" max="5" width="2.85546875" style="1" customWidth="1"/>
    <col min="6" max="256" width="11.42578125" style="1"/>
    <col min="257" max="257" width="7.28515625" style="1" bestFit="1" customWidth="1"/>
    <col min="258" max="258" width="2.42578125" style="1" customWidth="1"/>
    <col min="259" max="259" width="38.7109375" style="1" customWidth="1"/>
    <col min="260" max="260" width="11.42578125" style="1"/>
    <col min="261" max="261" width="2.85546875" style="1" customWidth="1"/>
    <col min="262" max="512" width="11.42578125" style="1"/>
    <col min="513" max="513" width="7.28515625" style="1" bestFit="1" customWidth="1"/>
    <col min="514" max="514" width="2.42578125" style="1" customWidth="1"/>
    <col min="515" max="515" width="38.7109375" style="1" customWidth="1"/>
    <col min="516" max="516" width="11.42578125" style="1"/>
    <col min="517" max="517" width="2.85546875" style="1" customWidth="1"/>
    <col min="518" max="768" width="11.42578125" style="1"/>
    <col min="769" max="769" width="7.28515625" style="1" bestFit="1" customWidth="1"/>
    <col min="770" max="770" width="2.42578125" style="1" customWidth="1"/>
    <col min="771" max="771" width="38.7109375" style="1" customWidth="1"/>
    <col min="772" max="772" width="11.42578125" style="1"/>
    <col min="773" max="773" width="2.85546875" style="1" customWidth="1"/>
    <col min="774" max="1024" width="11.42578125" style="1"/>
    <col min="1025" max="1025" width="7.28515625" style="1" bestFit="1" customWidth="1"/>
    <col min="1026" max="1026" width="2.42578125" style="1" customWidth="1"/>
    <col min="1027" max="1027" width="38.7109375" style="1" customWidth="1"/>
    <col min="1028" max="1028" width="11.42578125" style="1"/>
    <col min="1029" max="1029" width="2.85546875" style="1" customWidth="1"/>
    <col min="1030" max="1280" width="11.42578125" style="1"/>
    <col min="1281" max="1281" width="7.28515625" style="1" bestFit="1" customWidth="1"/>
    <col min="1282" max="1282" width="2.42578125" style="1" customWidth="1"/>
    <col min="1283" max="1283" width="38.7109375" style="1" customWidth="1"/>
    <col min="1284" max="1284" width="11.42578125" style="1"/>
    <col min="1285" max="1285" width="2.85546875" style="1" customWidth="1"/>
    <col min="1286" max="1536" width="11.42578125" style="1"/>
    <col min="1537" max="1537" width="7.28515625" style="1" bestFit="1" customWidth="1"/>
    <col min="1538" max="1538" width="2.42578125" style="1" customWidth="1"/>
    <col min="1539" max="1539" width="38.7109375" style="1" customWidth="1"/>
    <col min="1540" max="1540" width="11.42578125" style="1"/>
    <col min="1541" max="1541" width="2.85546875" style="1" customWidth="1"/>
    <col min="1542" max="1792" width="11.42578125" style="1"/>
    <col min="1793" max="1793" width="7.28515625" style="1" bestFit="1" customWidth="1"/>
    <col min="1794" max="1794" width="2.42578125" style="1" customWidth="1"/>
    <col min="1795" max="1795" width="38.7109375" style="1" customWidth="1"/>
    <col min="1796" max="1796" width="11.42578125" style="1"/>
    <col min="1797" max="1797" width="2.85546875" style="1" customWidth="1"/>
    <col min="1798" max="2048" width="11.42578125" style="1"/>
    <col min="2049" max="2049" width="7.28515625" style="1" bestFit="1" customWidth="1"/>
    <col min="2050" max="2050" width="2.42578125" style="1" customWidth="1"/>
    <col min="2051" max="2051" width="38.7109375" style="1" customWidth="1"/>
    <col min="2052" max="2052" width="11.42578125" style="1"/>
    <col min="2053" max="2053" width="2.85546875" style="1" customWidth="1"/>
    <col min="2054" max="2304" width="11.42578125" style="1"/>
    <col min="2305" max="2305" width="7.28515625" style="1" bestFit="1" customWidth="1"/>
    <col min="2306" max="2306" width="2.42578125" style="1" customWidth="1"/>
    <col min="2307" max="2307" width="38.7109375" style="1" customWidth="1"/>
    <col min="2308" max="2308" width="11.42578125" style="1"/>
    <col min="2309" max="2309" width="2.85546875" style="1" customWidth="1"/>
    <col min="2310" max="2560" width="11.42578125" style="1"/>
    <col min="2561" max="2561" width="7.28515625" style="1" bestFit="1" customWidth="1"/>
    <col min="2562" max="2562" width="2.42578125" style="1" customWidth="1"/>
    <col min="2563" max="2563" width="38.7109375" style="1" customWidth="1"/>
    <col min="2564" max="2564" width="11.42578125" style="1"/>
    <col min="2565" max="2565" width="2.85546875" style="1" customWidth="1"/>
    <col min="2566" max="2816" width="11.42578125" style="1"/>
    <col min="2817" max="2817" width="7.28515625" style="1" bestFit="1" customWidth="1"/>
    <col min="2818" max="2818" width="2.42578125" style="1" customWidth="1"/>
    <col min="2819" max="2819" width="38.7109375" style="1" customWidth="1"/>
    <col min="2820" max="2820" width="11.42578125" style="1"/>
    <col min="2821" max="2821" width="2.85546875" style="1" customWidth="1"/>
    <col min="2822" max="3072" width="11.42578125" style="1"/>
    <col min="3073" max="3073" width="7.28515625" style="1" bestFit="1" customWidth="1"/>
    <col min="3074" max="3074" width="2.42578125" style="1" customWidth="1"/>
    <col min="3075" max="3075" width="38.7109375" style="1" customWidth="1"/>
    <col min="3076" max="3076" width="11.42578125" style="1"/>
    <col min="3077" max="3077" width="2.85546875" style="1" customWidth="1"/>
    <col min="3078" max="3328" width="11.42578125" style="1"/>
    <col min="3329" max="3329" width="7.28515625" style="1" bestFit="1" customWidth="1"/>
    <col min="3330" max="3330" width="2.42578125" style="1" customWidth="1"/>
    <col min="3331" max="3331" width="38.7109375" style="1" customWidth="1"/>
    <col min="3332" max="3332" width="11.42578125" style="1"/>
    <col min="3333" max="3333" width="2.85546875" style="1" customWidth="1"/>
    <col min="3334" max="3584" width="11.42578125" style="1"/>
    <col min="3585" max="3585" width="7.28515625" style="1" bestFit="1" customWidth="1"/>
    <col min="3586" max="3586" width="2.42578125" style="1" customWidth="1"/>
    <col min="3587" max="3587" width="38.7109375" style="1" customWidth="1"/>
    <col min="3588" max="3588" width="11.42578125" style="1"/>
    <col min="3589" max="3589" width="2.85546875" style="1" customWidth="1"/>
    <col min="3590" max="3840" width="11.42578125" style="1"/>
    <col min="3841" max="3841" width="7.28515625" style="1" bestFit="1" customWidth="1"/>
    <col min="3842" max="3842" width="2.42578125" style="1" customWidth="1"/>
    <col min="3843" max="3843" width="38.7109375" style="1" customWidth="1"/>
    <col min="3844" max="3844" width="11.42578125" style="1"/>
    <col min="3845" max="3845" width="2.85546875" style="1" customWidth="1"/>
    <col min="3846" max="4096" width="11.42578125" style="1"/>
    <col min="4097" max="4097" width="7.28515625" style="1" bestFit="1" customWidth="1"/>
    <col min="4098" max="4098" width="2.42578125" style="1" customWidth="1"/>
    <col min="4099" max="4099" width="38.7109375" style="1" customWidth="1"/>
    <col min="4100" max="4100" width="11.42578125" style="1"/>
    <col min="4101" max="4101" width="2.85546875" style="1" customWidth="1"/>
    <col min="4102" max="4352" width="11.42578125" style="1"/>
    <col min="4353" max="4353" width="7.28515625" style="1" bestFit="1" customWidth="1"/>
    <col min="4354" max="4354" width="2.42578125" style="1" customWidth="1"/>
    <col min="4355" max="4355" width="38.7109375" style="1" customWidth="1"/>
    <col min="4356" max="4356" width="11.42578125" style="1"/>
    <col min="4357" max="4357" width="2.85546875" style="1" customWidth="1"/>
    <col min="4358" max="4608" width="11.42578125" style="1"/>
    <col min="4609" max="4609" width="7.28515625" style="1" bestFit="1" customWidth="1"/>
    <col min="4610" max="4610" width="2.42578125" style="1" customWidth="1"/>
    <col min="4611" max="4611" width="38.7109375" style="1" customWidth="1"/>
    <col min="4612" max="4612" width="11.42578125" style="1"/>
    <col min="4613" max="4613" width="2.85546875" style="1" customWidth="1"/>
    <col min="4614" max="4864" width="11.42578125" style="1"/>
    <col min="4865" max="4865" width="7.28515625" style="1" bestFit="1" customWidth="1"/>
    <col min="4866" max="4866" width="2.42578125" style="1" customWidth="1"/>
    <col min="4867" max="4867" width="38.7109375" style="1" customWidth="1"/>
    <col min="4868" max="4868" width="11.42578125" style="1"/>
    <col min="4869" max="4869" width="2.85546875" style="1" customWidth="1"/>
    <col min="4870" max="5120" width="11.42578125" style="1"/>
    <col min="5121" max="5121" width="7.28515625" style="1" bestFit="1" customWidth="1"/>
    <col min="5122" max="5122" width="2.42578125" style="1" customWidth="1"/>
    <col min="5123" max="5123" width="38.7109375" style="1" customWidth="1"/>
    <col min="5124" max="5124" width="11.42578125" style="1"/>
    <col min="5125" max="5125" width="2.85546875" style="1" customWidth="1"/>
    <col min="5126" max="5376" width="11.42578125" style="1"/>
    <col min="5377" max="5377" width="7.28515625" style="1" bestFit="1" customWidth="1"/>
    <col min="5378" max="5378" width="2.42578125" style="1" customWidth="1"/>
    <col min="5379" max="5379" width="38.7109375" style="1" customWidth="1"/>
    <col min="5380" max="5380" width="11.42578125" style="1"/>
    <col min="5381" max="5381" width="2.85546875" style="1" customWidth="1"/>
    <col min="5382" max="5632" width="11.42578125" style="1"/>
    <col min="5633" max="5633" width="7.28515625" style="1" bestFit="1" customWidth="1"/>
    <col min="5634" max="5634" width="2.42578125" style="1" customWidth="1"/>
    <col min="5635" max="5635" width="38.7109375" style="1" customWidth="1"/>
    <col min="5636" max="5636" width="11.42578125" style="1"/>
    <col min="5637" max="5637" width="2.85546875" style="1" customWidth="1"/>
    <col min="5638" max="5888" width="11.42578125" style="1"/>
    <col min="5889" max="5889" width="7.28515625" style="1" bestFit="1" customWidth="1"/>
    <col min="5890" max="5890" width="2.42578125" style="1" customWidth="1"/>
    <col min="5891" max="5891" width="38.7109375" style="1" customWidth="1"/>
    <col min="5892" max="5892" width="11.42578125" style="1"/>
    <col min="5893" max="5893" width="2.85546875" style="1" customWidth="1"/>
    <col min="5894" max="6144" width="11.42578125" style="1"/>
    <col min="6145" max="6145" width="7.28515625" style="1" bestFit="1" customWidth="1"/>
    <col min="6146" max="6146" width="2.42578125" style="1" customWidth="1"/>
    <col min="6147" max="6147" width="38.7109375" style="1" customWidth="1"/>
    <col min="6148" max="6148" width="11.42578125" style="1"/>
    <col min="6149" max="6149" width="2.85546875" style="1" customWidth="1"/>
    <col min="6150" max="6400" width="11.42578125" style="1"/>
    <col min="6401" max="6401" width="7.28515625" style="1" bestFit="1" customWidth="1"/>
    <col min="6402" max="6402" width="2.42578125" style="1" customWidth="1"/>
    <col min="6403" max="6403" width="38.7109375" style="1" customWidth="1"/>
    <col min="6404" max="6404" width="11.42578125" style="1"/>
    <col min="6405" max="6405" width="2.85546875" style="1" customWidth="1"/>
    <col min="6406" max="6656" width="11.42578125" style="1"/>
    <col min="6657" max="6657" width="7.28515625" style="1" bestFit="1" customWidth="1"/>
    <col min="6658" max="6658" width="2.42578125" style="1" customWidth="1"/>
    <col min="6659" max="6659" width="38.7109375" style="1" customWidth="1"/>
    <col min="6660" max="6660" width="11.42578125" style="1"/>
    <col min="6661" max="6661" width="2.85546875" style="1" customWidth="1"/>
    <col min="6662" max="6912" width="11.42578125" style="1"/>
    <col min="6913" max="6913" width="7.28515625" style="1" bestFit="1" customWidth="1"/>
    <col min="6914" max="6914" width="2.42578125" style="1" customWidth="1"/>
    <col min="6915" max="6915" width="38.7109375" style="1" customWidth="1"/>
    <col min="6916" max="6916" width="11.42578125" style="1"/>
    <col min="6917" max="6917" width="2.85546875" style="1" customWidth="1"/>
    <col min="6918" max="7168" width="11.42578125" style="1"/>
    <col min="7169" max="7169" width="7.28515625" style="1" bestFit="1" customWidth="1"/>
    <col min="7170" max="7170" width="2.42578125" style="1" customWidth="1"/>
    <col min="7171" max="7171" width="38.7109375" style="1" customWidth="1"/>
    <col min="7172" max="7172" width="11.42578125" style="1"/>
    <col min="7173" max="7173" width="2.85546875" style="1" customWidth="1"/>
    <col min="7174" max="7424" width="11.42578125" style="1"/>
    <col min="7425" max="7425" width="7.28515625" style="1" bestFit="1" customWidth="1"/>
    <col min="7426" max="7426" width="2.42578125" style="1" customWidth="1"/>
    <col min="7427" max="7427" width="38.7109375" style="1" customWidth="1"/>
    <col min="7428" max="7428" width="11.42578125" style="1"/>
    <col min="7429" max="7429" width="2.85546875" style="1" customWidth="1"/>
    <col min="7430" max="7680" width="11.42578125" style="1"/>
    <col min="7681" max="7681" width="7.28515625" style="1" bestFit="1" customWidth="1"/>
    <col min="7682" max="7682" width="2.42578125" style="1" customWidth="1"/>
    <col min="7683" max="7683" width="38.7109375" style="1" customWidth="1"/>
    <col min="7684" max="7684" width="11.42578125" style="1"/>
    <col min="7685" max="7685" width="2.85546875" style="1" customWidth="1"/>
    <col min="7686" max="7936" width="11.42578125" style="1"/>
    <col min="7937" max="7937" width="7.28515625" style="1" bestFit="1" customWidth="1"/>
    <col min="7938" max="7938" width="2.42578125" style="1" customWidth="1"/>
    <col min="7939" max="7939" width="38.7109375" style="1" customWidth="1"/>
    <col min="7940" max="7940" width="11.42578125" style="1"/>
    <col min="7941" max="7941" width="2.85546875" style="1" customWidth="1"/>
    <col min="7942" max="8192" width="11.42578125" style="1"/>
    <col min="8193" max="8193" width="7.28515625" style="1" bestFit="1" customWidth="1"/>
    <col min="8194" max="8194" width="2.42578125" style="1" customWidth="1"/>
    <col min="8195" max="8195" width="38.7109375" style="1" customWidth="1"/>
    <col min="8196" max="8196" width="11.42578125" style="1"/>
    <col min="8197" max="8197" width="2.85546875" style="1" customWidth="1"/>
    <col min="8198" max="8448" width="11.42578125" style="1"/>
    <col min="8449" max="8449" width="7.28515625" style="1" bestFit="1" customWidth="1"/>
    <col min="8450" max="8450" width="2.42578125" style="1" customWidth="1"/>
    <col min="8451" max="8451" width="38.7109375" style="1" customWidth="1"/>
    <col min="8452" max="8452" width="11.42578125" style="1"/>
    <col min="8453" max="8453" width="2.85546875" style="1" customWidth="1"/>
    <col min="8454" max="8704" width="11.42578125" style="1"/>
    <col min="8705" max="8705" width="7.28515625" style="1" bestFit="1" customWidth="1"/>
    <col min="8706" max="8706" width="2.42578125" style="1" customWidth="1"/>
    <col min="8707" max="8707" width="38.7109375" style="1" customWidth="1"/>
    <col min="8708" max="8708" width="11.42578125" style="1"/>
    <col min="8709" max="8709" width="2.85546875" style="1" customWidth="1"/>
    <col min="8710" max="8960" width="11.42578125" style="1"/>
    <col min="8961" max="8961" width="7.28515625" style="1" bestFit="1" customWidth="1"/>
    <col min="8962" max="8962" width="2.42578125" style="1" customWidth="1"/>
    <col min="8963" max="8963" width="38.7109375" style="1" customWidth="1"/>
    <col min="8964" max="8964" width="11.42578125" style="1"/>
    <col min="8965" max="8965" width="2.85546875" style="1" customWidth="1"/>
    <col min="8966" max="9216" width="11.42578125" style="1"/>
    <col min="9217" max="9217" width="7.28515625" style="1" bestFit="1" customWidth="1"/>
    <col min="9218" max="9218" width="2.42578125" style="1" customWidth="1"/>
    <col min="9219" max="9219" width="38.7109375" style="1" customWidth="1"/>
    <col min="9220" max="9220" width="11.42578125" style="1"/>
    <col min="9221" max="9221" width="2.85546875" style="1" customWidth="1"/>
    <col min="9222" max="9472" width="11.42578125" style="1"/>
    <col min="9473" max="9473" width="7.28515625" style="1" bestFit="1" customWidth="1"/>
    <col min="9474" max="9474" width="2.42578125" style="1" customWidth="1"/>
    <col min="9475" max="9475" width="38.7109375" style="1" customWidth="1"/>
    <col min="9476" max="9476" width="11.42578125" style="1"/>
    <col min="9477" max="9477" width="2.85546875" style="1" customWidth="1"/>
    <col min="9478" max="9728" width="11.42578125" style="1"/>
    <col min="9729" max="9729" width="7.28515625" style="1" bestFit="1" customWidth="1"/>
    <col min="9730" max="9730" width="2.42578125" style="1" customWidth="1"/>
    <col min="9731" max="9731" width="38.7109375" style="1" customWidth="1"/>
    <col min="9732" max="9732" width="11.42578125" style="1"/>
    <col min="9733" max="9733" width="2.85546875" style="1" customWidth="1"/>
    <col min="9734" max="9984" width="11.42578125" style="1"/>
    <col min="9985" max="9985" width="7.28515625" style="1" bestFit="1" customWidth="1"/>
    <col min="9986" max="9986" width="2.42578125" style="1" customWidth="1"/>
    <col min="9987" max="9987" width="38.7109375" style="1" customWidth="1"/>
    <col min="9988" max="9988" width="11.42578125" style="1"/>
    <col min="9989" max="9989" width="2.85546875" style="1" customWidth="1"/>
    <col min="9990" max="10240" width="11.42578125" style="1"/>
    <col min="10241" max="10241" width="7.28515625" style="1" bestFit="1" customWidth="1"/>
    <col min="10242" max="10242" width="2.42578125" style="1" customWidth="1"/>
    <col min="10243" max="10243" width="38.7109375" style="1" customWidth="1"/>
    <col min="10244" max="10244" width="11.42578125" style="1"/>
    <col min="10245" max="10245" width="2.85546875" style="1" customWidth="1"/>
    <col min="10246" max="10496" width="11.42578125" style="1"/>
    <col min="10497" max="10497" width="7.28515625" style="1" bestFit="1" customWidth="1"/>
    <col min="10498" max="10498" width="2.42578125" style="1" customWidth="1"/>
    <col min="10499" max="10499" width="38.7109375" style="1" customWidth="1"/>
    <col min="10500" max="10500" width="11.42578125" style="1"/>
    <col min="10501" max="10501" width="2.85546875" style="1" customWidth="1"/>
    <col min="10502" max="10752" width="11.42578125" style="1"/>
    <col min="10753" max="10753" width="7.28515625" style="1" bestFit="1" customWidth="1"/>
    <col min="10754" max="10754" width="2.42578125" style="1" customWidth="1"/>
    <col min="10755" max="10755" width="38.7109375" style="1" customWidth="1"/>
    <col min="10756" max="10756" width="11.42578125" style="1"/>
    <col min="10757" max="10757" width="2.85546875" style="1" customWidth="1"/>
    <col min="10758" max="11008" width="11.42578125" style="1"/>
    <col min="11009" max="11009" width="7.28515625" style="1" bestFit="1" customWidth="1"/>
    <col min="11010" max="11010" width="2.42578125" style="1" customWidth="1"/>
    <col min="11011" max="11011" width="38.7109375" style="1" customWidth="1"/>
    <col min="11012" max="11012" width="11.42578125" style="1"/>
    <col min="11013" max="11013" width="2.85546875" style="1" customWidth="1"/>
    <col min="11014" max="11264" width="11.42578125" style="1"/>
    <col min="11265" max="11265" width="7.28515625" style="1" bestFit="1" customWidth="1"/>
    <col min="11266" max="11266" width="2.42578125" style="1" customWidth="1"/>
    <col min="11267" max="11267" width="38.7109375" style="1" customWidth="1"/>
    <col min="11268" max="11268" width="11.42578125" style="1"/>
    <col min="11269" max="11269" width="2.85546875" style="1" customWidth="1"/>
    <col min="11270" max="11520" width="11.42578125" style="1"/>
    <col min="11521" max="11521" width="7.28515625" style="1" bestFit="1" customWidth="1"/>
    <col min="11522" max="11522" width="2.42578125" style="1" customWidth="1"/>
    <col min="11523" max="11523" width="38.7109375" style="1" customWidth="1"/>
    <col min="11524" max="11524" width="11.42578125" style="1"/>
    <col min="11525" max="11525" width="2.85546875" style="1" customWidth="1"/>
    <col min="11526" max="11776" width="11.42578125" style="1"/>
    <col min="11777" max="11777" width="7.28515625" style="1" bestFit="1" customWidth="1"/>
    <col min="11778" max="11778" width="2.42578125" style="1" customWidth="1"/>
    <col min="11779" max="11779" width="38.7109375" style="1" customWidth="1"/>
    <col min="11780" max="11780" width="11.42578125" style="1"/>
    <col min="11781" max="11781" width="2.85546875" style="1" customWidth="1"/>
    <col min="11782" max="12032" width="11.42578125" style="1"/>
    <col min="12033" max="12033" width="7.28515625" style="1" bestFit="1" customWidth="1"/>
    <col min="12034" max="12034" width="2.42578125" style="1" customWidth="1"/>
    <col min="12035" max="12035" width="38.7109375" style="1" customWidth="1"/>
    <col min="12036" max="12036" width="11.42578125" style="1"/>
    <col min="12037" max="12037" width="2.85546875" style="1" customWidth="1"/>
    <col min="12038" max="12288" width="11.42578125" style="1"/>
    <col min="12289" max="12289" width="7.28515625" style="1" bestFit="1" customWidth="1"/>
    <col min="12290" max="12290" width="2.42578125" style="1" customWidth="1"/>
    <col min="12291" max="12291" width="38.7109375" style="1" customWidth="1"/>
    <col min="12292" max="12292" width="11.42578125" style="1"/>
    <col min="12293" max="12293" width="2.85546875" style="1" customWidth="1"/>
    <col min="12294" max="12544" width="11.42578125" style="1"/>
    <col min="12545" max="12545" width="7.28515625" style="1" bestFit="1" customWidth="1"/>
    <col min="12546" max="12546" width="2.42578125" style="1" customWidth="1"/>
    <col min="12547" max="12547" width="38.7109375" style="1" customWidth="1"/>
    <col min="12548" max="12548" width="11.42578125" style="1"/>
    <col min="12549" max="12549" width="2.85546875" style="1" customWidth="1"/>
    <col min="12550" max="12800" width="11.42578125" style="1"/>
    <col min="12801" max="12801" width="7.28515625" style="1" bestFit="1" customWidth="1"/>
    <col min="12802" max="12802" width="2.42578125" style="1" customWidth="1"/>
    <col min="12803" max="12803" width="38.7109375" style="1" customWidth="1"/>
    <col min="12804" max="12804" width="11.42578125" style="1"/>
    <col min="12805" max="12805" width="2.85546875" style="1" customWidth="1"/>
    <col min="12806" max="13056" width="11.42578125" style="1"/>
    <col min="13057" max="13057" width="7.28515625" style="1" bestFit="1" customWidth="1"/>
    <col min="13058" max="13058" width="2.42578125" style="1" customWidth="1"/>
    <col min="13059" max="13059" width="38.7109375" style="1" customWidth="1"/>
    <col min="13060" max="13060" width="11.42578125" style="1"/>
    <col min="13061" max="13061" width="2.85546875" style="1" customWidth="1"/>
    <col min="13062" max="13312" width="11.42578125" style="1"/>
    <col min="13313" max="13313" width="7.28515625" style="1" bestFit="1" customWidth="1"/>
    <col min="13314" max="13314" width="2.42578125" style="1" customWidth="1"/>
    <col min="13315" max="13315" width="38.7109375" style="1" customWidth="1"/>
    <col min="13316" max="13316" width="11.42578125" style="1"/>
    <col min="13317" max="13317" width="2.85546875" style="1" customWidth="1"/>
    <col min="13318" max="13568" width="11.42578125" style="1"/>
    <col min="13569" max="13569" width="7.28515625" style="1" bestFit="1" customWidth="1"/>
    <col min="13570" max="13570" width="2.42578125" style="1" customWidth="1"/>
    <col min="13571" max="13571" width="38.7109375" style="1" customWidth="1"/>
    <col min="13572" max="13572" width="11.42578125" style="1"/>
    <col min="13573" max="13573" width="2.85546875" style="1" customWidth="1"/>
    <col min="13574" max="13824" width="11.42578125" style="1"/>
    <col min="13825" max="13825" width="7.28515625" style="1" bestFit="1" customWidth="1"/>
    <col min="13826" max="13826" width="2.42578125" style="1" customWidth="1"/>
    <col min="13827" max="13827" width="38.7109375" style="1" customWidth="1"/>
    <col min="13828" max="13828" width="11.42578125" style="1"/>
    <col min="13829" max="13829" width="2.85546875" style="1" customWidth="1"/>
    <col min="13830" max="14080" width="11.42578125" style="1"/>
    <col min="14081" max="14081" width="7.28515625" style="1" bestFit="1" customWidth="1"/>
    <col min="14082" max="14082" width="2.42578125" style="1" customWidth="1"/>
    <col min="14083" max="14083" width="38.7109375" style="1" customWidth="1"/>
    <col min="14084" max="14084" width="11.42578125" style="1"/>
    <col min="14085" max="14085" width="2.85546875" style="1" customWidth="1"/>
    <col min="14086" max="14336" width="11.42578125" style="1"/>
    <col min="14337" max="14337" width="7.28515625" style="1" bestFit="1" customWidth="1"/>
    <col min="14338" max="14338" width="2.42578125" style="1" customWidth="1"/>
    <col min="14339" max="14339" width="38.7109375" style="1" customWidth="1"/>
    <col min="14340" max="14340" width="11.42578125" style="1"/>
    <col min="14341" max="14341" width="2.85546875" style="1" customWidth="1"/>
    <col min="14342" max="14592" width="11.42578125" style="1"/>
    <col min="14593" max="14593" width="7.28515625" style="1" bestFit="1" customWidth="1"/>
    <col min="14594" max="14594" width="2.42578125" style="1" customWidth="1"/>
    <col min="14595" max="14595" width="38.7109375" style="1" customWidth="1"/>
    <col min="14596" max="14596" width="11.42578125" style="1"/>
    <col min="14597" max="14597" width="2.85546875" style="1" customWidth="1"/>
    <col min="14598" max="14848" width="11.42578125" style="1"/>
    <col min="14849" max="14849" width="7.28515625" style="1" bestFit="1" customWidth="1"/>
    <col min="14850" max="14850" width="2.42578125" style="1" customWidth="1"/>
    <col min="14851" max="14851" width="38.7109375" style="1" customWidth="1"/>
    <col min="14852" max="14852" width="11.42578125" style="1"/>
    <col min="14853" max="14853" width="2.85546875" style="1" customWidth="1"/>
    <col min="14854" max="15104" width="11.42578125" style="1"/>
    <col min="15105" max="15105" width="7.28515625" style="1" bestFit="1" customWidth="1"/>
    <col min="15106" max="15106" width="2.42578125" style="1" customWidth="1"/>
    <col min="15107" max="15107" width="38.7109375" style="1" customWidth="1"/>
    <col min="15108" max="15108" width="11.42578125" style="1"/>
    <col min="15109" max="15109" width="2.85546875" style="1" customWidth="1"/>
    <col min="15110" max="15360" width="11.42578125" style="1"/>
    <col min="15361" max="15361" width="7.28515625" style="1" bestFit="1" customWidth="1"/>
    <col min="15362" max="15362" width="2.42578125" style="1" customWidth="1"/>
    <col min="15363" max="15363" width="38.7109375" style="1" customWidth="1"/>
    <col min="15364" max="15364" width="11.42578125" style="1"/>
    <col min="15365" max="15365" width="2.85546875" style="1" customWidth="1"/>
    <col min="15366" max="15616" width="11.42578125" style="1"/>
    <col min="15617" max="15617" width="7.28515625" style="1" bestFit="1" customWidth="1"/>
    <col min="15618" max="15618" width="2.42578125" style="1" customWidth="1"/>
    <col min="15619" max="15619" width="38.7109375" style="1" customWidth="1"/>
    <col min="15620" max="15620" width="11.42578125" style="1"/>
    <col min="15621" max="15621" width="2.85546875" style="1" customWidth="1"/>
    <col min="15622" max="15872" width="11.42578125" style="1"/>
    <col min="15873" max="15873" width="7.28515625" style="1" bestFit="1" customWidth="1"/>
    <col min="15874" max="15874" width="2.42578125" style="1" customWidth="1"/>
    <col min="15875" max="15875" width="38.7109375" style="1" customWidth="1"/>
    <col min="15876" max="15876" width="11.42578125" style="1"/>
    <col min="15877" max="15877" width="2.85546875" style="1" customWidth="1"/>
    <col min="15878" max="16128" width="11.42578125" style="1"/>
    <col min="16129" max="16129" width="7.28515625" style="1" bestFit="1" customWidth="1"/>
    <col min="16130" max="16130" width="2.42578125" style="1" customWidth="1"/>
    <col min="16131" max="16131" width="38.7109375" style="1" customWidth="1"/>
    <col min="16132" max="16132" width="11.42578125" style="1"/>
    <col min="16133" max="16133" width="2.85546875" style="1" customWidth="1"/>
    <col min="16134" max="16384" width="11.42578125" style="1"/>
  </cols>
  <sheetData>
    <row r="1" spans="1:6" x14ac:dyDescent="0.25">
      <c r="C1" s="2" t="s">
        <v>0</v>
      </c>
      <c r="D1" s="3"/>
      <c r="E1" s="3"/>
      <c r="F1" s="3"/>
    </row>
    <row r="2" spans="1:6" x14ac:dyDescent="0.25">
      <c r="C2" s="2" t="s">
        <v>1</v>
      </c>
      <c r="D2" s="3"/>
      <c r="E2" s="3"/>
      <c r="F2" s="3"/>
    </row>
    <row r="3" spans="1:6" x14ac:dyDescent="0.25">
      <c r="C3" s="2" t="s">
        <v>2</v>
      </c>
      <c r="D3" s="3"/>
      <c r="E3" s="3"/>
      <c r="F3" s="3"/>
    </row>
    <row r="4" spans="1:6" x14ac:dyDescent="0.25">
      <c r="C4" s="2" t="s">
        <v>3</v>
      </c>
      <c r="D4" s="3"/>
      <c r="E4" s="3"/>
      <c r="F4" s="3"/>
    </row>
    <row r="5" spans="1:6" x14ac:dyDescent="0.25">
      <c r="C5" s="2"/>
      <c r="D5" s="155"/>
      <c r="E5" s="155"/>
      <c r="F5" s="155"/>
    </row>
    <row r="6" spans="1:6" x14ac:dyDescent="0.25">
      <c r="A6" s="2">
        <v>1</v>
      </c>
      <c r="C6" s="4" t="s">
        <v>4</v>
      </c>
      <c r="D6" s="5"/>
      <c r="E6" s="5"/>
      <c r="F6" s="5"/>
    </row>
    <row r="7" spans="1:6" x14ac:dyDescent="0.25">
      <c r="A7" s="2">
        <v>11</v>
      </c>
      <c r="B7" s="2"/>
      <c r="C7" s="6" t="s">
        <v>5</v>
      </c>
      <c r="D7" s="7"/>
      <c r="E7" s="7"/>
      <c r="F7" s="8">
        <f>SUM(D8:D10)</f>
        <v>5950</v>
      </c>
    </row>
    <row r="8" spans="1:6" x14ac:dyDescent="0.25">
      <c r="A8" s="1">
        <v>1105</v>
      </c>
      <c r="C8" s="9" t="s">
        <v>6</v>
      </c>
      <c r="D8" s="10">
        <v>950</v>
      </c>
      <c r="E8" s="10"/>
      <c r="F8" s="3"/>
    </row>
    <row r="9" spans="1:6" x14ac:dyDescent="0.25">
      <c r="A9" s="1">
        <v>111001</v>
      </c>
      <c r="C9" s="9" t="s">
        <v>7</v>
      </c>
      <c r="D9" s="10">
        <v>2600</v>
      </c>
      <c r="E9" s="10"/>
      <c r="F9" s="3"/>
    </row>
    <row r="10" spans="1:6" x14ac:dyDescent="0.25">
      <c r="A10" s="1">
        <v>111002</v>
      </c>
      <c r="C10" s="9" t="s">
        <v>8</v>
      </c>
      <c r="D10" s="11">
        <v>2400</v>
      </c>
      <c r="E10" s="12"/>
      <c r="F10" s="3"/>
    </row>
    <row r="11" spans="1:6" x14ac:dyDescent="0.25">
      <c r="A11" s="2">
        <v>12</v>
      </c>
      <c r="C11" s="13" t="s">
        <v>9</v>
      </c>
      <c r="D11" s="10"/>
      <c r="E11" s="10"/>
      <c r="F11" s="8">
        <f>SUM(D12:D14)</f>
        <v>26550</v>
      </c>
    </row>
    <row r="12" spans="1:6" x14ac:dyDescent="0.25">
      <c r="A12" s="1">
        <v>1205</v>
      </c>
      <c r="C12" s="9" t="s">
        <v>132</v>
      </c>
      <c r="D12" s="10">
        <v>5150</v>
      </c>
      <c r="E12" s="10"/>
      <c r="F12" s="3"/>
    </row>
    <row r="13" spans="1:6" x14ac:dyDescent="0.25">
      <c r="A13" s="1">
        <v>1225</v>
      </c>
      <c r="C13" s="9" t="s">
        <v>10</v>
      </c>
      <c r="D13" s="10">
        <v>13400</v>
      </c>
      <c r="E13" s="10"/>
      <c r="F13" s="3"/>
    </row>
    <row r="14" spans="1:6" x14ac:dyDescent="0.25">
      <c r="A14" s="1">
        <v>1245</v>
      </c>
      <c r="C14" s="9" t="s">
        <v>11</v>
      </c>
      <c r="D14" s="11">
        <v>8000</v>
      </c>
      <c r="E14" s="12"/>
      <c r="F14" s="3"/>
    </row>
    <row r="15" spans="1:6" x14ac:dyDescent="0.25">
      <c r="A15" s="2">
        <v>13</v>
      </c>
      <c r="C15" s="6" t="s">
        <v>12</v>
      </c>
      <c r="D15" s="14"/>
      <c r="E15" s="14"/>
      <c r="F15" s="8">
        <f>SUM(D16:D21)</f>
        <v>52300</v>
      </c>
    </row>
    <row r="16" spans="1:6" x14ac:dyDescent="0.25">
      <c r="A16" s="1">
        <v>1305</v>
      </c>
      <c r="C16" s="9" t="s">
        <v>13</v>
      </c>
      <c r="D16" s="10">
        <v>35000</v>
      </c>
      <c r="E16" s="10"/>
      <c r="F16" s="3"/>
    </row>
    <row r="17" spans="1:6" x14ac:dyDescent="0.25">
      <c r="A17" s="1">
        <v>133015</v>
      </c>
      <c r="C17" s="9" t="s">
        <v>14</v>
      </c>
      <c r="D17" s="10">
        <v>800</v>
      </c>
      <c r="E17" s="10"/>
      <c r="F17" s="3"/>
    </row>
    <row r="18" spans="1:6" x14ac:dyDescent="0.25">
      <c r="A18" s="1">
        <v>133095</v>
      </c>
      <c r="C18" s="9" t="s">
        <v>15</v>
      </c>
      <c r="D18" s="10">
        <v>7000</v>
      </c>
      <c r="E18" s="10"/>
      <c r="F18" s="3"/>
    </row>
    <row r="19" spans="1:6" x14ac:dyDescent="0.25">
      <c r="A19" s="1">
        <v>1360</v>
      </c>
      <c r="C19" s="9" t="s">
        <v>16</v>
      </c>
      <c r="D19" s="10">
        <v>1000</v>
      </c>
      <c r="E19" s="10"/>
      <c r="F19" s="3"/>
    </row>
    <row r="20" spans="1:6" x14ac:dyDescent="0.25">
      <c r="A20" s="1">
        <v>1370</v>
      </c>
      <c r="C20" s="9" t="s">
        <v>17</v>
      </c>
      <c r="D20" s="10">
        <v>12000</v>
      </c>
      <c r="E20" s="10"/>
      <c r="F20" s="3"/>
    </row>
    <row r="21" spans="1:6" x14ac:dyDescent="0.25">
      <c r="A21" s="1">
        <v>1399</v>
      </c>
      <c r="C21" s="9" t="s">
        <v>18</v>
      </c>
      <c r="D21" s="11">
        <v>-3500</v>
      </c>
      <c r="E21" s="12"/>
      <c r="F21" s="3"/>
    </row>
    <row r="22" spans="1:6" x14ac:dyDescent="0.25">
      <c r="A22" s="2">
        <v>14</v>
      </c>
      <c r="B22" s="2"/>
      <c r="C22" s="6" t="s">
        <v>19</v>
      </c>
      <c r="D22" s="15"/>
      <c r="E22" s="15"/>
      <c r="F22" s="8">
        <f>SUM(D23:D29)</f>
        <v>89000</v>
      </c>
    </row>
    <row r="23" spans="1:6" x14ac:dyDescent="0.25">
      <c r="A23" s="1">
        <v>1405</v>
      </c>
      <c r="C23" s="9" t="s">
        <v>20</v>
      </c>
      <c r="D23" s="10">
        <v>6000</v>
      </c>
      <c r="E23" s="10"/>
      <c r="F23" s="3"/>
    </row>
    <row r="24" spans="1:6" x14ac:dyDescent="0.25">
      <c r="A24" s="1">
        <v>1410</v>
      </c>
      <c r="C24" s="9" t="s">
        <v>21</v>
      </c>
      <c r="D24" s="10">
        <v>7000</v>
      </c>
      <c r="E24" s="10"/>
      <c r="F24" s="3"/>
    </row>
    <row r="25" spans="1:6" x14ac:dyDescent="0.25">
      <c r="A25" s="1">
        <v>1425</v>
      </c>
      <c r="C25" s="9" t="s">
        <v>22</v>
      </c>
      <c r="D25" s="10">
        <v>8000</v>
      </c>
      <c r="E25" s="10"/>
      <c r="F25" s="3"/>
    </row>
    <row r="26" spans="1:6" x14ac:dyDescent="0.25">
      <c r="A26" s="1">
        <v>1430</v>
      </c>
      <c r="C26" s="9" t="s">
        <v>23</v>
      </c>
      <c r="D26" s="10">
        <v>35000</v>
      </c>
      <c r="E26" s="10"/>
      <c r="F26" s="3"/>
    </row>
    <row r="27" spans="1:6" x14ac:dyDescent="0.25">
      <c r="A27" s="1">
        <v>1435</v>
      </c>
      <c r="C27" s="9" t="s">
        <v>24</v>
      </c>
      <c r="D27" s="10">
        <v>23000</v>
      </c>
      <c r="E27" s="10"/>
      <c r="F27" s="3"/>
    </row>
    <row r="28" spans="1:6" x14ac:dyDescent="0.25">
      <c r="A28" s="1">
        <v>1445</v>
      </c>
      <c r="C28" s="9" t="s">
        <v>25</v>
      </c>
      <c r="D28" s="10">
        <v>5000</v>
      </c>
      <c r="E28" s="10"/>
      <c r="F28" s="3"/>
    </row>
    <row r="29" spans="1:6" x14ac:dyDescent="0.25">
      <c r="A29" s="1">
        <v>1455</v>
      </c>
      <c r="C29" s="9" t="s">
        <v>26</v>
      </c>
      <c r="D29" s="11">
        <v>5000</v>
      </c>
      <c r="E29" s="12"/>
      <c r="F29" s="3"/>
    </row>
    <row r="30" spans="1:6" x14ac:dyDescent="0.25">
      <c r="A30" s="2">
        <v>15</v>
      </c>
      <c r="B30" s="2"/>
      <c r="C30" s="6" t="s">
        <v>27</v>
      </c>
      <c r="D30" s="15"/>
      <c r="E30" s="15"/>
      <c r="F30" s="16">
        <f>SUM(D31:D35)</f>
        <v>51000</v>
      </c>
    </row>
    <row r="31" spans="1:6" x14ac:dyDescent="0.25">
      <c r="A31" s="1">
        <v>1516</v>
      </c>
      <c r="C31" s="9" t="s">
        <v>28</v>
      </c>
      <c r="D31" s="14">
        <v>13000</v>
      </c>
      <c r="E31" s="14"/>
      <c r="F31" s="3"/>
    </row>
    <row r="32" spans="1:6" x14ac:dyDescent="0.25">
      <c r="A32" s="1">
        <v>1520</v>
      </c>
      <c r="C32" s="9" t="s">
        <v>29</v>
      </c>
      <c r="D32" s="10">
        <v>54000</v>
      </c>
      <c r="E32" s="10"/>
      <c r="F32" s="3"/>
    </row>
    <row r="33" spans="1:6" x14ac:dyDescent="0.25">
      <c r="A33" s="1">
        <v>1524</v>
      </c>
      <c r="C33" s="9" t="s">
        <v>30</v>
      </c>
      <c r="D33" s="10">
        <v>3000</v>
      </c>
      <c r="E33" s="10"/>
      <c r="F33" s="3"/>
    </row>
    <row r="34" spans="1:6" x14ac:dyDescent="0.25">
      <c r="A34" s="1">
        <v>1592</v>
      </c>
      <c r="C34" s="9" t="s">
        <v>31</v>
      </c>
      <c r="D34" s="10">
        <v>-26000</v>
      </c>
      <c r="E34" s="10"/>
      <c r="F34" s="3"/>
    </row>
    <row r="35" spans="1:6" x14ac:dyDescent="0.25">
      <c r="C35" s="9" t="s">
        <v>32</v>
      </c>
      <c r="D35" s="11">
        <v>7000</v>
      </c>
      <c r="E35" s="12"/>
      <c r="F35" s="3"/>
    </row>
    <row r="36" spans="1:6" x14ac:dyDescent="0.25">
      <c r="A36" s="2">
        <v>17</v>
      </c>
      <c r="B36" s="2"/>
      <c r="C36" s="6" t="s">
        <v>33</v>
      </c>
      <c r="D36" s="7"/>
      <c r="E36" s="7"/>
      <c r="F36" s="8">
        <f>SUM(D37:D38)</f>
        <v>11300</v>
      </c>
    </row>
    <row r="37" spans="1:6" x14ac:dyDescent="0.25">
      <c r="A37" s="1">
        <v>1705</v>
      </c>
      <c r="C37" s="9" t="s">
        <v>34</v>
      </c>
      <c r="D37" s="10">
        <v>2000</v>
      </c>
      <c r="E37" s="10"/>
      <c r="F37" s="3"/>
    </row>
    <row r="38" spans="1:6" x14ac:dyDescent="0.25">
      <c r="A38" s="1">
        <v>1710</v>
      </c>
      <c r="C38" s="9" t="s">
        <v>35</v>
      </c>
      <c r="D38" s="11">
        <v>9300</v>
      </c>
      <c r="E38" s="12"/>
      <c r="F38" s="3"/>
    </row>
    <row r="39" spans="1:6" x14ac:dyDescent="0.25">
      <c r="A39" s="2">
        <v>18</v>
      </c>
      <c r="C39" s="6" t="s">
        <v>36</v>
      </c>
      <c r="D39" s="15"/>
      <c r="E39" s="15"/>
      <c r="F39" s="8">
        <f>SUM(D40)</f>
        <v>1200</v>
      </c>
    </row>
    <row r="40" spans="1:6" x14ac:dyDescent="0.25">
      <c r="A40" s="1">
        <v>1805</v>
      </c>
      <c r="C40" s="9" t="s">
        <v>37</v>
      </c>
      <c r="D40" s="11">
        <v>1200</v>
      </c>
      <c r="E40" s="12"/>
      <c r="F40" s="3"/>
    </row>
    <row r="41" spans="1:6" x14ac:dyDescent="0.25">
      <c r="A41" s="1">
        <v>19</v>
      </c>
      <c r="C41" s="6" t="s">
        <v>38</v>
      </c>
      <c r="D41" s="14"/>
      <c r="E41" s="14"/>
      <c r="F41" s="8">
        <f>SUM(D42:D42)</f>
        <v>38000</v>
      </c>
    </row>
    <row r="42" spans="1:6" x14ac:dyDescent="0.25">
      <c r="A42" s="1">
        <v>1910</v>
      </c>
      <c r="C42" s="9" t="s">
        <v>39</v>
      </c>
      <c r="D42" s="17">
        <v>38000</v>
      </c>
      <c r="E42" s="18"/>
      <c r="F42" s="3"/>
    </row>
    <row r="43" spans="1:6" ht="15.75" thickBot="1" x14ac:dyDescent="0.3">
      <c r="C43" s="6" t="s">
        <v>40</v>
      </c>
      <c r="D43" s="7"/>
      <c r="E43" s="7"/>
      <c r="F43" s="19">
        <f>SUM(F7:F42)</f>
        <v>275300</v>
      </c>
    </row>
    <row r="44" spans="1:6" ht="15.75" thickTop="1" x14ac:dyDescent="0.25">
      <c r="C44" s="9"/>
      <c r="D44" s="14"/>
      <c r="E44" s="14"/>
      <c r="F44" s="3"/>
    </row>
    <row r="45" spans="1:6" x14ac:dyDescent="0.25">
      <c r="A45" s="2">
        <v>2</v>
      </c>
      <c r="C45" s="6" t="s">
        <v>41</v>
      </c>
      <c r="D45" s="5"/>
      <c r="E45" s="5"/>
      <c r="F45" s="5"/>
    </row>
    <row r="46" spans="1:6" x14ac:dyDescent="0.25">
      <c r="A46" s="2">
        <v>21</v>
      </c>
      <c r="B46" s="2"/>
      <c r="C46" s="6" t="s">
        <v>42</v>
      </c>
      <c r="D46" s="7"/>
      <c r="E46" s="7"/>
      <c r="F46" s="8">
        <f>SUM(D47:D48)</f>
        <v>62000</v>
      </c>
    </row>
    <row r="47" spans="1:6" x14ac:dyDescent="0.25">
      <c r="A47" s="1">
        <v>2105</v>
      </c>
      <c r="C47" s="9" t="s">
        <v>43</v>
      </c>
      <c r="D47" s="10">
        <v>32000</v>
      </c>
      <c r="E47" s="10"/>
      <c r="F47" s="3"/>
    </row>
    <row r="48" spans="1:6" x14ac:dyDescent="0.25">
      <c r="A48" s="1">
        <v>2195</v>
      </c>
      <c r="C48" s="9" t="s">
        <v>44</v>
      </c>
      <c r="D48" s="11">
        <v>30000</v>
      </c>
      <c r="E48" s="12"/>
      <c r="F48" s="3"/>
    </row>
    <row r="49" spans="1:6" x14ac:dyDescent="0.25">
      <c r="A49" s="2">
        <v>22</v>
      </c>
      <c r="C49" s="6" t="s">
        <v>45</v>
      </c>
      <c r="D49" s="5"/>
      <c r="E49" s="5"/>
      <c r="F49" s="8">
        <f>SUM(D50)</f>
        <v>36810</v>
      </c>
    </row>
    <row r="50" spans="1:6" x14ac:dyDescent="0.25">
      <c r="A50" s="1">
        <v>2205</v>
      </c>
      <c r="C50" s="9" t="s">
        <v>46</v>
      </c>
      <c r="D50" s="11">
        <v>36810</v>
      </c>
      <c r="E50" s="12"/>
      <c r="F50" s="3"/>
    </row>
    <row r="51" spans="1:6" x14ac:dyDescent="0.25">
      <c r="A51" s="2">
        <v>23</v>
      </c>
      <c r="C51" s="6" t="s">
        <v>47</v>
      </c>
      <c r="D51" s="5"/>
      <c r="E51" s="5"/>
      <c r="F51" s="8">
        <f>SUM(D52:D53)</f>
        <v>9900</v>
      </c>
    </row>
    <row r="52" spans="1:6" x14ac:dyDescent="0.25">
      <c r="A52" s="1">
        <v>2335</v>
      </c>
      <c r="C52" s="9" t="s">
        <v>48</v>
      </c>
      <c r="D52" s="10">
        <v>3100</v>
      </c>
      <c r="E52" s="10"/>
      <c r="F52" s="8"/>
    </row>
    <row r="53" spans="1:6" x14ac:dyDescent="0.25">
      <c r="A53" s="1">
        <v>2380</v>
      </c>
      <c r="C53" s="9" t="s">
        <v>49</v>
      </c>
      <c r="D53" s="11">
        <v>6800</v>
      </c>
      <c r="E53" s="12"/>
      <c r="F53" s="3"/>
    </row>
    <row r="54" spans="1:6" x14ac:dyDescent="0.25">
      <c r="A54" s="2">
        <v>24</v>
      </c>
      <c r="B54" s="2"/>
      <c r="C54" s="6" t="s">
        <v>50</v>
      </c>
      <c r="D54" s="7"/>
      <c r="E54" s="7"/>
      <c r="F54" s="8">
        <f>SUM(D55:D56)</f>
        <v>3000</v>
      </c>
    </row>
    <row r="55" spans="1:6" x14ac:dyDescent="0.25">
      <c r="A55" s="1">
        <v>2404</v>
      </c>
      <c r="C55" s="9" t="s">
        <v>51</v>
      </c>
      <c r="D55" s="10">
        <v>2900</v>
      </c>
      <c r="E55" s="10"/>
      <c r="F55" s="3"/>
    </row>
    <row r="56" spans="1:6" x14ac:dyDescent="0.25">
      <c r="A56" s="1">
        <v>2408</v>
      </c>
      <c r="C56" s="9" t="s">
        <v>52</v>
      </c>
      <c r="D56" s="11">
        <v>100</v>
      </c>
      <c r="E56" s="12"/>
      <c r="F56" s="3"/>
    </row>
    <row r="57" spans="1:6" x14ac:dyDescent="0.25">
      <c r="A57" s="2">
        <v>25</v>
      </c>
      <c r="B57" s="2"/>
      <c r="C57" s="6" t="s">
        <v>53</v>
      </c>
      <c r="D57" s="7"/>
      <c r="E57" s="7"/>
      <c r="F57" s="8">
        <f>SUM(D58:D59)</f>
        <v>11000</v>
      </c>
    </row>
    <row r="58" spans="1:6" x14ac:dyDescent="0.25">
      <c r="A58" s="1">
        <v>2510</v>
      </c>
      <c r="C58" s="9" t="s">
        <v>54</v>
      </c>
      <c r="D58" s="10">
        <v>6000</v>
      </c>
      <c r="E58" s="10"/>
      <c r="F58" s="3"/>
    </row>
    <row r="59" spans="1:6" x14ac:dyDescent="0.25">
      <c r="A59" s="1">
        <v>2525</v>
      </c>
      <c r="C59" s="9" t="s">
        <v>55</v>
      </c>
      <c r="D59" s="11">
        <v>5000</v>
      </c>
      <c r="E59" s="12"/>
      <c r="F59" s="3"/>
    </row>
    <row r="60" spans="1:6" x14ac:dyDescent="0.25">
      <c r="A60" s="2">
        <v>26</v>
      </c>
      <c r="B60" s="2"/>
      <c r="C60" s="6" t="s">
        <v>56</v>
      </c>
      <c r="D60" s="7"/>
      <c r="E60" s="7"/>
      <c r="F60" s="8">
        <f>SUM(D61:D63)</f>
        <v>22000</v>
      </c>
    </row>
    <row r="61" spans="1:6" x14ac:dyDescent="0.25">
      <c r="A61" s="1">
        <v>2605</v>
      </c>
      <c r="C61" s="9" t="s">
        <v>57</v>
      </c>
      <c r="D61" s="10">
        <v>8000</v>
      </c>
      <c r="E61" s="10"/>
      <c r="F61" s="3"/>
    </row>
    <row r="62" spans="1:6" x14ac:dyDescent="0.25">
      <c r="A62" s="1">
        <v>2630</v>
      </c>
      <c r="C62" s="9" t="s">
        <v>58</v>
      </c>
      <c r="D62" s="10">
        <v>4000</v>
      </c>
      <c r="E62" s="10"/>
      <c r="F62" s="3"/>
    </row>
    <row r="63" spans="1:6" x14ac:dyDescent="0.25">
      <c r="A63" s="1">
        <v>2635</v>
      </c>
      <c r="C63" s="9" t="s">
        <v>59</v>
      </c>
      <c r="D63" s="11">
        <v>10000</v>
      </c>
      <c r="E63" s="12"/>
      <c r="F63" s="3"/>
    </row>
    <row r="64" spans="1:6" x14ac:dyDescent="0.25">
      <c r="A64" s="2">
        <v>27</v>
      </c>
      <c r="B64" s="2"/>
      <c r="C64" s="6" t="s">
        <v>33</v>
      </c>
      <c r="D64" s="7"/>
      <c r="E64" s="7"/>
      <c r="F64" s="8">
        <f>SUM(D65)</f>
        <v>2000</v>
      </c>
    </row>
    <row r="65" spans="1:6" x14ac:dyDescent="0.25">
      <c r="A65" s="1">
        <v>2725</v>
      </c>
      <c r="C65" s="9" t="s">
        <v>60</v>
      </c>
      <c r="D65" s="11">
        <v>2000</v>
      </c>
      <c r="E65" s="12"/>
      <c r="F65" s="3"/>
    </row>
    <row r="66" spans="1:6" ht="15.75" thickBot="1" x14ac:dyDescent="0.3">
      <c r="C66" s="6" t="s">
        <v>61</v>
      </c>
      <c r="D66" s="15"/>
      <c r="E66" s="15"/>
      <c r="F66" s="19">
        <f>SUM(F46:F64)</f>
        <v>146710</v>
      </c>
    </row>
    <row r="67" spans="1:6" ht="15.75" thickTop="1" x14ac:dyDescent="0.25">
      <c r="C67" s="9"/>
      <c r="D67" s="14"/>
      <c r="E67" s="14"/>
      <c r="F67" s="3"/>
    </row>
    <row r="68" spans="1:6" x14ac:dyDescent="0.25">
      <c r="A68" s="2">
        <v>3</v>
      </c>
      <c r="C68" s="6" t="s">
        <v>62</v>
      </c>
      <c r="D68" s="5"/>
      <c r="E68" s="5"/>
      <c r="F68" s="5"/>
    </row>
    <row r="69" spans="1:6" x14ac:dyDescent="0.25">
      <c r="A69" s="1">
        <v>31</v>
      </c>
      <c r="C69" s="9" t="s">
        <v>63</v>
      </c>
      <c r="D69" s="10"/>
      <c r="E69" s="10"/>
      <c r="F69" s="20">
        <v>70000</v>
      </c>
    </row>
    <row r="70" spans="1:6" x14ac:dyDescent="0.25">
      <c r="A70" s="1">
        <v>32</v>
      </c>
      <c r="C70" s="9" t="s">
        <v>64</v>
      </c>
      <c r="D70" s="10"/>
      <c r="E70" s="10"/>
      <c r="F70" s="20">
        <v>7100</v>
      </c>
    </row>
    <row r="71" spans="1:6" x14ac:dyDescent="0.25">
      <c r="A71" s="1">
        <v>33</v>
      </c>
      <c r="C71" s="9" t="s">
        <v>65</v>
      </c>
      <c r="D71" s="10"/>
      <c r="E71" s="10"/>
      <c r="F71" s="20">
        <v>1000</v>
      </c>
    </row>
    <row r="72" spans="1:6" x14ac:dyDescent="0.25">
      <c r="A72" s="1">
        <v>34</v>
      </c>
      <c r="C72" s="9" t="s">
        <v>66</v>
      </c>
      <c r="D72" s="10"/>
      <c r="E72" s="10"/>
      <c r="F72" s="21">
        <v>3000</v>
      </c>
    </row>
    <row r="73" spans="1:6" x14ac:dyDescent="0.25">
      <c r="A73" s="1">
        <v>36</v>
      </c>
      <c r="C73" s="9" t="s">
        <v>67</v>
      </c>
      <c r="D73" s="10"/>
      <c r="E73" s="10"/>
      <c r="F73" s="20">
        <v>1800</v>
      </c>
    </row>
    <row r="74" spans="1:6" x14ac:dyDescent="0.25">
      <c r="A74" s="1">
        <v>37</v>
      </c>
      <c r="C74" s="9" t="s">
        <v>68</v>
      </c>
      <c r="D74" s="10"/>
      <c r="E74" s="10"/>
      <c r="F74" s="20">
        <v>7690</v>
      </c>
    </row>
    <row r="75" spans="1:6" x14ac:dyDescent="0.25">
      <c r="A75" s="1">
        <v>38</v>
      </c>
      <c r="C75" s="9" t="s">
        <v>69</v>
      </c>
      <c r="D75" s="10"/>
      <c r="E75" s="10"/>
      <c r="F75" s="20">
        <v>38000</v>
      </c>
    </row>
    <row r="76" spans="1:6" x14ac:dyDescent="0.25">
      <c r="C76" s="6" t="s">
        <v>70</v>
      </c>
      <c r="D76" s="14"/>
      <c r="E76" s="14"/>
      <c r="F76" s="22">
        <f>SUM(F69:F75)</f>
        <v>128590</v>
      </c>
    </row>
    <row r="77" spans="1:6" ht="15.75" thickBot="1" x14ac:dyDescent="0.3">
      <c r="C77" s="6" t="s">
        <v>71</v>
      </c>
      <c r="D77" s="15"/>
      <c r="E77" s="15"/>
      <c r="F77" s="19">
        <f>+F66+F76</f>
        <v>275300</v>
      </c>
    </row>
    <row r="78" spans="1:6" ht="15.75" thickTop="1" x14ac:dyDescent="0.25">
      <c r="C78" s="23" t="s">
        <v>72</v>
      </c>
      <c r="D78" s="24"/>
      <c r="E78" s="24"/>
      <c r="F78" s="25">
        <f>+F77-F43</f>
        <v>0</v>
      </c>
    </row>
    <row r="79" spans="1:6" x14ac:dyDescent="0.25">
      <c r="D79" s="3"/>
      <c r="E79" s="3"/>
      <c r="F79" s="3"/>
    </row>
  </sheetData>
  <mergeCells count="1">
    <mergeCell ref="D5:F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topLeftCell="A3" zoomScale="130" zoomScaleNormal="130" workbookViewId="0">
      <selection activeCell="C18" sqref="C18:D18"/>
    </sheetView>
  </sheetViews>
  <sheetFormatPr baseColWidth="10" defaultRowHeight="15" x14ac:dyDescent="0.25"/>
  <cols>
    <col min="1" max="1" width="1.7109375" customWidth="1"/>
    <col min="2" max="2" width="29.140625" customWidth="1"/>
  </cols>
  <sheetData>
    <row r="2" spans="2:3" x14ac:dyDescent="0.25">
      <c r="B2" s="65" t="s">
        <v>293</v>
      </c>
    </row>
    <row r="4" spans="2:3" x14ac:dyDescent="0.25">
      <c r="B4" t="s">
        <v>294</v>
      </c>
      <c r="C4" t="s">
        <v>296</v>
      </c>
    </row>
    <row r="6" spans="2:3" x14ac:dyDescent="0.25">
      <c r="B6" t="s">
        <v>201</v>
      </c>
    </row>
    <row r="9" spans="2:3" x14ac:dyDescent="0.25">
      <c r="B9" t="s">
        <v>297</v>
      </c>
      <c r="C9">
        <f>+HT!C36</f>
        <v>6000</v>
      </c>
    </row>
    <row r="10" spans="2:3" x14ac:dyDescent="0.25">
      <c r="B10" t="s">
        <v>298</v>
      </c>
      <c r="C10" s="71">
        <v>0.1</v>
      </c>
    </row>
    <row r="11" spans="2:3" x14ac:dyDescent="0.25">
      <c r="B11" t="s">
        <v>300</v>
      </c>
      <c r="C11">
        <f>+C9*C10</f>
        <v>600</v>
      </c>
    </row>
    <row r="13" spans="2:3" x14ac:dyDescent="0.25">
      <c r="B13" s="65" t="s">
        <v>194</v>
      </c>
    </row>
    <row r="15" spans="2:3" x14ac:dyDescent="0.25">
      <c r="B15" t="s">
        <v>302</v>
      </c>
      <c r="C15">
        <f>+D17</f>
        <v>600</v>
      </c>
    </row>
    <row r="17" spans="2:4" x14ac:dyDescent="0.25">
      <c r="B17" t="s">
        <v>301</v>
      </c>
      <c r="D17">
        <f>+C11</f>
        <v>600</v>
      </c>
    </row>
    <row r="18" spans="2:4" ht="15.75" thickBot="1" x14ac:dyDescent="0.3">
      <c r="C18" s="78">
        <f>SUM(C15:C17)</f>
        <v>600</v>
      </c>
      <c r="D18" s="78">
        <f>SUM(D15:D17)</f>
        <v>600</v>
      </c>
    </row>
    <row r="19" spans="2:4" ht="15.75" thickTop="1" x14ac:dyDescent="0.2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opLeftCell="A6" zoomScale="130" zoomScaleNormal="130" workbookViewId="0">
      <selection activeCell="C20" sqref="C20:D20"/>
    </sheetView>
  </sheetViews>
  <sheetFormatPr baseColWidth="10" defaultRowHeight="15" x14ac:dyDescent="0.25"/>
  <cols>
    <col min="1" max="1" width="3.28515625" customWidth="1"/>
    <col min="2" max="2" width="35.42578125" customWidth="1"/>
  </cols>
  <sheetData>
    <row r="2" spans="2:6" x14ac:dyDescent="0.25">
      <c r="B2" s="65" t="s">
        <v>304</v>
      </c>
    </row>
    <row r="4" spans="2:6" x14ac:dyDescent="0.25">
      <c r="B4" t="s">
        <v>134</v>
      </c>
      <c r="C4" t="s">
        <v>295</v>
      </c>
    </row>
    <row r="6" spans="2:6" x14ac:dyDescent="0.25">
      <c r="B6" t="s">
        <v>286</v>
      </c>
    </row>
    <row r="9" spans="2:6" x14ac:dyDescent="0.25">
      <c r="B9" t="s">
        <v>305</v>
      </c>
      <c r="C9">
        <f>+HT!C37</f>
        <v>7000</v>
      </c>
      <c r="F9" s="68">
        <f>+C9/C10</f>
        <v>11666.666666666668</v>
      </c>
    </row>
    <row r="10" spans="2:6" x14ac:dyDescent="0.25">
      <c r="B10" t="s">
        <v>306</v>
      </c>
      <c r="C10" s="71">
        <v>0.6</v>
      </c>
      <c r="D10" s="71">
        <v>1</v>
      </c>
      <c r="F10" s="68">
        <f>+F9*C11</f>
        <v>6416.6666666666679</v>
      </c>
    </row>
    <row r="11" spans="2:6" x14ac:dyDescent="0.25">
      <c r="B11" t="s">
        <v>307</v>
      </c>
      <c r="C11" s="71">
        <v>0.55000000000000004</v>
      </c>
      <c r="D11">
        <f>+C11/C10</f>
        <v>0.91666666666666674</v>
      </c>
      <c r="F11" s="68">
        <f>+F10*0.1</f>
        <v>641.66666666666686</v>
      </c>
    </row>
    <row r="12" spans="2:6" x14ac:dyDescent="0.25">
      <c r="B12" t="s">
        <v>307</v>
      </c>
      <c r="C12" s="68">
        <f>+D11*C9</f>
        <v>6416.666666666667</v>
      </c>
    </row>
    <row r="13" spans="2:6" x14ac:dyDescent="0.25">
      <c r="B13" t="s">
        <v>299</v>
      </c>
      <c r="C13" s="71">
        <v>0.1</v>
      </c>
    </row>
    <row r="14" spans="2:6" x14ac:dyDescent="0.25">
      <c r="B14" t="s">
        <v>308</v>
      </c>
      <c r="C14" s="68">
        <f>+C12*C13</f>
        <v>641.66666666666674</v>
      </c>
    </row>
    <row r="16" spans="2:6" x14ac:dyDescent="0.25">
      <c r="B16" t="s">
        <v>194</v>
      </c>
    </row>
    <row r="18" spans="2:4" x14ac:dyDescent="0.25">
      <c r="B18" t="s">
        <v>235</v>
      </c>
      <c r="C18" s="74">
        <f>+D19</f>
        <v>641.66666666666674</v>
      </c>
    </row>
    <row r="19" spans="2:4" x14ac:dyDescent="0.25">
      <c r="B19" t="s">
        <v>309</v>
      </c>
      <c r="D19" s="74">
        <f>+C14</f>
        <v>641.66666666666674</v>
      </c>
    </row>
    <row r="20" spans="2:4" ht="15.75" thickBot="1" x14ac:dyDescent="0.3">
      <c r="B20" t="s">
        <v>310</v>
      </c>
      <c r="C20" s="69">
        <f>SUM(C17:C19)</f>
        <v>641.66666666666674</v>
      </c>
      <c r="D20" s="69">
        <f>SUM(D17:D19)</f>
        <v>641.66666666666674</v>
      </c>
    </row>
    <row r="21" spans="2:4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4"/>
  <sheetViews>
    <sheetView topLeftCell="A78" zoomScale="130" zoomScaleNormal="130" workbookViewId="0">
      <selection activeCell="C83" sqref="C83:D83"/>
    </sheetView>
  </sheetViews>
  <sheetFormatPr baseColWidth="10" defaultRowHeight="15" x14ac:dyDescent="0.25"/>
  <cols>
    <col min="1" max="1" width="3.28515625" customWidth="1"/>
    <col min="2" max="2" width="27" customWidth="1"/>
    <col min="3" max="3" width="12.5703125" customWidth="1"/>
    <col min="4" max="4" width="14.85546875" customWidth="1"/>
  </cols>
  <sheetData>
    <row r="2" spans="2:4" x14ac:dyDescent="0.25">
      <c r="B2" s="65" t="s">
        <v>312</v>
      </c>
    </row>
    <row r="4" spans="2:4" x14ac:dyDescent="0.25">
      <c r="B4" t="s">
        <v>134</v>
      </c>
      <c r="C4" t="s">
        <v>313</v>
      </c>
    </row>
    <row r="9" spans="2:4" x14ac:dyDescent="0.25">
      <c r="B9" t="s">
        <v>314</v>
      </c>
      <c r="C9">
        <f>+HT!C39</f>
        <v>35000</v>
      </c>
    </row>
    <row r="11" spans="2:4" x14ac:dyDescent="0.25">
      <c r="B11" t="s">
        <v>315</v>
      </c>
      <c r="C11">
        <v>30000</v>
      </c>
      <c r="D11">
        <f>+C11*C18*C20</f>
        <v>1650</v>
      </c>
    </row>
    <row r="12" spans="2:4" x14ac:dyDescent="0.25">
      <c r="B12" t="s">
        <v>316</v>
      </c>
      <c r="C12">
        <f>+C9-C11</f>
        <v>5000</v>
      </c>
      <c r="D12">
        <f>+C12*C18*C20</f>
        <v>275</v>
      </c>
    </row>
    <row r="13" spans="2:4" x14ac:dyDescent="0.25">
      <c r="C13">
        <f>+C11+C12</f>
        <v>35000</v>
      </c>
      <c r="D13">
        <f>+D11+D12</f>
        <v>1925</v>
      </c>
    </row>
    <row r="15" spans="2:4" x14ac:dyDescent="0.25">
      <c r="B15" t="s">
        <v>317</v>
      </c>
    </row>
    <row r="17" spans="2:4" x14ac:dyDescent="0.25">
      <c r="B17" t="s">
        <v>318</v>
      </c>
      <c r="C17">
        <f>+C13</f>
        <v>35000</v>
      </c>
    </row>
    <row r="18" spans="2:4" x14ac:dyDescent="0.25">
      <c r="B18" t="s">
        <v>319</v>
      </c>
      <c r="C18" s="71">
        <v>0.55000000000000004</v>
      </c>
    </row>
    <row r="19" spans="2:4" x14ac:dyDescent="0.25">
      <c r="B19" t="s">
        <v>320</v>
      </c>
      <c r="C19">
        <f>+C17*C18</f>
        <v>19250</v>
      </c>
    </row>
    <row r="20" spans="2:4" x14ac:dyDescent="0.25">
      <c r="B20" t="s">
        <v>298</v>
      </c>
      <c r="C20" s="71">
        <v>0.1</v>
      </c>
    </row>
    <row r="21" spans="2:4" x14ac:dyDescent="0.25">
      <c r="B21" t="s">
        <v>300</v>
      </c>
      <c r="C21">
        <f>+C19*C20</f>
        <v>1925</v>
      </c>
    </row>
    <row r="24" spans="2:4" x14ac:dyDescent="0.25">
      <c r="B24" t="s">
        <v>321</v>
      </c>
    </row>
    <row r="26" spans="2:4" x14ac:dyDescent="0.25">
      <c r="B26" t="s">
        <v>235</v>
      </c>
      <c r="C26">
        <f>+C21</f>
        <v>1925</v>
      </c>
    </row>
    <row r="27" spans="2:4" x14ac:dyDescent="0.25">
      <c r="B27" t="s">
        <v>309</v>
      </c>
      <c r="D27">
        <f>+C26</f>
        <v>1925</v>
      </c>
    </row>
    <row r="28" spans="2:4" x14ac:dyDescent="0.25">
      <c r="B28" t="s">
        <v>322</v>
      </c>
    </row>
    <row r="29" spans="2:4" x14ac:dyDescent="0.25">
      <c r="C29" t="s">
        <v>80</v>
      </c>
      <c r="D29" s="74">
        <f>+C24</f>
        <v>0</v>
      </c>
    </row>
    <row r="30" spans="2:4" ht="15.75" thickBot="1" x14ac:dyDescent="0.3">
      <c r="C30" s="69">
        <f>SUM(C26:C29)</f>
        <v>1925</v>
      </c>
      <c r="D30" s="69">
        <f>SUM(D27:D29)</f>
        <v>1925</v>
      </c>
    </row>
    <row r="31" spans="2:4" ht="15.75" thickTop="1" x14ac:dyDescent="0.25"/>
    <row r="33" spans="2:3" x14ac:dyDescent="0.25">
      <c r="B33" t="s">
        <v>323</v>
      </c>
    </row>
    <row r="35" spans="2:3" x14ac:dyDescent="0.25">
      <c r="B35" t="s">
        <v>324</v>
      </c>
      <c r="C35">
        <v>360000</v>
      </c>
    </row>
    <row r="36" spans="2:3" x14ac:dyDescent="0.25">
      <c r="B36" t="s">
        <v>325</v>
      </c>
      <c r="C36">
        <v>84000</v>
      </c>
    </row>
    <row r="37" spans="2:3" x14ac:dyDescent="0.25">
      <c r="B37" t="s">
        <v>326</v>
      </c>
      <c r="C37">
        <f>+C36/C35</f>
        <v>0.23333333333333334</v>
      </c>
    </row>
    <row r="39" spans="2:3" x14ac:dyDescent="0.25">
      <c r="B39" t="s">
        <v>327</v>
      </c>
    </row>
    <row r="40" spans="2:3" x14ac:dyDescent="0.25">
      <c r="C40" t="s">
        <v>76</v>
      </c>
    </row>
    <row r="41" spans="2:3" x14ac:dyDescent="0.25">
      <c r="B41" t="s">
        <v>307</v>
      </c>
      <c r="C41">
        <f>+C11*C18</f>
        <v>16500</v>
      </c>
    </row>
    <row r="42" spans="2:3" x14ac:dyDescent="0.25">
      <c r="B42" t="s">
        <v>328</v>
      </c>
      <c r="C42">
        <f>+C11*0.15</f>
        <v>4500</v>
      </c>
    </row>
    <row r="43" spans="2:3" x14ac:dyDescent="0.25">
      <c r="B43" t="s">
        <v>329</v>
      </c>
      <c r="C43">
        <f>+C11*0.1</f>
        <v>3000</v>
      </c>
    </row>
    <row r="44" spans="2:3" x14ac:dyDescent="0.25">
      <c r="B44" t="s">
        <v>330</v>
      </c>
      <c r="C44">
        <f>+C11*0.2</f>
        <v>6000</v>
      </c>
    </row>
    <row r="45" spans="2:3" x14ac:dyDescent="0.25">
      <c r="B45" t="s">
        <v>331</v>
      </c>
      <c r="C45">
        <f>SUM(C41:C44)</f>
        <v>30000</v>
      </c>
    </row>
    <row r="47" spans="2:3" x14ac:dyDescent="0.25">
      <c r="B47" t="s">
        <v>332</v>
      </c>
      <c r="C47">
        <v>10000</v>
      </c>
    </row>
    <row r="48" spans="2:3" x14ac:dyDescent="0.25">
      <c r="B48" t="s">
        <v>333</v>
      </c>
      <c r="C48">
        <f>+C37</f>
        <v>0.23333333333333334</v>
      </c>
    </row>
    <row r="49" spans="2:4" x14ac:dyDescent="0.25">
      <c r="B49" t="s">
        <v>334</v>
      </c>
      <c r="C49" s="68">
        <f>+C47*C48</f>
        <v>2333.3333333333335</v>
      </c>
    </row>
    <row r="50" spans="2:4" x14ac:dyDescent="0.25">
      <c r="B50" t="s">
        <v>170</v>
      </c>
      <c r="C50">
        <f>+C44</f>
        <v>6000</v>
      </c>
    </row>
    <row r="51" spans="2:4" x14ac:dyDescent="0.25">
      <c r="B51" t="s">
        <v>290</v>
      </c>
      <c r="C51" s="74">
        <f>+C49-C50</f>
        <v>-3666.6666666666665</v>
      </c>
    </row>
    <row r="54" spans="2:4" x14ac:dyDescent="0.25">
      <c r="B54" s="65" t="s">
        <v>194</v>
      </c>
    </row>
    <row r="56" spans="2:4" x14ac:dyDescent="0.25">
      <c r="B56" t="s">
        <v>235</v>
      </c>
      <c r="C56" s="74">
        <f>-C51</f>
        <v>3666.6666666666665</v>
      </c>
    </row>
    <row r="57" spans="2:4" x14ac:dyDescent="0.25">
      <c r="B57" t="s">
        <v>335</v>
      </c>
      <c r="D57" s="74">
        <f>+C56</f>
        <v>3666.6666666666665</v>
      </c>
    </row>
    <row r="58" spans="2:4" ht="15.75" thickBot="1" x14ac:dyDescent="0.3">
      <c r="B58" t="s">
        <v>322</v>
      </c>
      <c r="C58" s="69">
        <f>SUM(C55:C57)</f>
        <v>3666.6666666666665</v>
      </c>
      <c r="D58" s="69">
        <f>SUM(D55:D57)</f>
        <v>3666.6666666666665</v>
      </c>
    </row>
    <row r="59" spans="2:4" ht="15.75" thickTop="1" x14ac:dyDescent="0.25"/>
    <row r="61" spans="2:4" x14ac:dyDescent="0.25">
      <c r="C61" t="s">
        <v>336</v>
      </c>
      <c r="D61" t="s">
        <v>337</v>
      </c>
    </row>
    <row r="62" spans="2:4" x14ac:dyDescent="0.25">
      <c r="B62" t="s">
        <v>338</v>
      </c>
      <c r="C62">
        <f>+C11</f>
        <v>30000</v>
      </c>
      <c r="D62">
        <f>+C12</f>
        <v>5000</v>
      </c>
    </row>
    <row r="63" spans="2:4" x14ac:dyDescent="0.25">
      <c r="B63" t="s">
        <v>339</v>
      </c>
      <c r="C63">
        <f>-D11</f>
        <v>-1650</v>
      </c>
      <c r="D63">
        <f>-D12</f>
        <v>-275</v>
      </c>
    </row>
    <row r="64" spans="2:4" x14ac:dyDescent="0.25">
      <c r="B64" t="s">
        <v>340</v>
      </c>
      <c r="C64" s="74">
        <f>-D57</f>
        <v>-3666.6666666666665</v>
      </c>
    </row>
    <row r="65" spans="2:4" x14ac:dyDescent="0.25">
      <c r="B65" t="s">
        <v>341</v>
      </c>
      <c r="C65" s="68">
        <f>SUM(C62:C64)</f>
        <v>24683.333333333332</v>
      </c>
      <c r="D65" s="68">
        <f>SUM(D62:D64)</f>
        <v>4725</v>
      </c>
    </row>
    <row r="66" spans="2:4" x14ac:dyDescent="0.25">
      <c r="B66" t="s">
        <v>342</v>
      </c>
      <c r="C66">
        <v>10000</v>
      </c>
      <c r="D66">
        <v>1000</v>
      </c>
    </row>
    <row r="67" spans="2:4" x14ac:dyDescent="0.25">
      <c r="B67" t="s">
        <v>343</v>
      </c>
      <c r="C67" s="79">
        <f>+C65/C66</f>
        <v>2.4683333333333333</v>
      </c>
      <c r="D67">
        <f>+D65/D66</f>
        <v>4.7249999999999996</v>
      </c>
    </row>
    <row r="69" spans="2:4" x14ac:dyDescent="0.25">
      <c r="B69" t="s">
        <v>344</v>
      </c>
    </row>
    <row r="70" spans="2:4" x14ac:dyDescent="0.25">
      <c r="B70" t="s">
        <v>345</v>
      </c>
      <c r="C70">
        <v>4</v>
      </c>
      <c r="D70">
        <v>1.5</v>
      </c>
    </row>
    <row r="71" spans="2:4" x14ac:dyDescent="0.25">
      <c r="B71" t="s">
        <v>346</v>
      </c>
      <c r="C71" s="71">
        <v>0.15</v>
      </c>
      <c r="D71" s="71">
        <v>0.3</v>
      </c>
    </row>
    <row r="72" spans="2:4" x14ac:dyDescent="0.25">
      <c r="B72" t="s">
        <v>347</v>
      </c>
      <c r="C72">
        <f>+C70*C71</f>
        <v>0.6</v>
      </c>
      <c r="D72">
        <f>+D70*D71</f>
        <v>0.44999999999999996</v>
      </c>
    </row>
    <row r="73" spans="2:4" x14ac:dyDescent="0.25">
      <c r="B73" t="s">
        <v>348</v>
      </c>
      <c r="C73">
        <f>+C70-C72</f>
        <v>3.4</v>
      </c>
      <c r="D73">
        <f>+D70-D72</f>
        <v>1.05</v>
      </c>
    </row>
    <row r="74" spans="2:4" x14ac:dyDescent="0.25">
      <c r="B74" t="s">
        <v>350</v>
      </c>
      <c r="C74" t="s">
        <v>349</v>
      </c>
      <c r="D74" t="s">
        <v>351</v>
      </c>
    </row>
    <row r="75" spans="2:4" x14ac:dyDescent="0.25">
      <c r="B75" t="s">
        <v>352</v>
      </c>
      <c r="D75" s="80">
        <f>+D67-D73</f>
        <v>3.6749999999999998</v>
      </c>
    </row>
    <row r="76" spans="2:4" x14ac:dyDescent="0.25">
      <c r="B76" t="s">
        <v>153</v>
      </c>
      <c r="D76">
        <f>+D66</f>
        <v>1000</v>
      </c>
    </row>
    <row r="77" spans="2:4" x14ac:dyDescent="0.25">
      <c r="B77" t="s">
        <v>353</v>
      </c>
      <c r="D77" s="68">
        <f>+D75*D76</f>
        <v>3675</v>
      </c>
    </row>
    <row r="79" spans="2:4" x14ac:dyDescent="0.25">
      <c r="B79" s="65" t="s">
        <v>194</v>
      </c>
    </row>
    <row r="81" spans="2:4" x14ac:dyDescent="0.25">
      <c r="B81" t="s">
        <v>235</v>
      </c>
      <c r="C81" s="74">
        <f>+D77</f>
        <v>3675</v>
      </c>
    </row>
    <row r="82" spans="2:4" x14ac:dyDescent="0.25">
      <c r="B82" t="s">
        <v>309</v>
      </c>
      <c r="D82" s="74">
        <f>+C81</f>
        <v>3675</v>
      </c>
    </row>
    <row r="83" spans="2:4" ht="15.75" thickBot="1" x14ac:dyDescent="0.3">
      <c r="B83" t="s">
        <v>322</v>
      </c>
      <c r="C83" s="76">
        <f>SUM(C81:C82)</f>
        <v>3675</v>
      </c>
      <c r="D83" s="76">
        <f>SUM(D81:D82)</f>
        <v>3675</v>
      </c>
    </row>
    <row r="84" spans="2:4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opLeftCell="A3" zoomScale="130" zoomScaleNormal="130" workbookViewId="0">
      <selection activeCell="D20" sqref="D20"/>
    </sheetView>
  </sheetViews>
  <sheetFormatPr baseColWidth="10" defaultRowHeight="15" x14ac:dyDescent="0.25"/>
  <cols>
    <col min="1" max="1" width="3.7109375" customWidth="1"/>
    <col min="2" max="2" width="36.140625" customWidth="1"/>
  </cols>
  <sheetData>
    <row r="2" spans="2:4" x14ac:dyDescent="0.25">
      <c r="B2" s="65" t="s">
        <v>357</v>
      </c>
    </row>
    <row r="4" spans="2:4" x14ac:dyDescent="0.25">
      <c r="B4" t="s">
        <v>358</v>
      </c>
      <c r="C4" t="s">
        <v>295</v>
      </c>
    </row>
    <row r="6" spans="2:4" x14ac:dyDescent="0.25">
      <c r="B6" t="s">
        <v>286</v>
      </c>
    </row>
    <row r="10" spans="2:4" x14ac:dyDescent="0.25">
      <c r="B10" t="s">
        <v>338</v>
      </c>
      <c r="C10">
        <f>+HT!C40</f>
        <v>23000</v>
      </c>
    </row>
    <row r="11" spans="2:4" x14ac:dyDescent="0.25">
      <c r="B11" t="s">
        <v>359</v>
      </c>
      <c r="C11" s="71">
        <v>0.1</v>
      </c>
    </row>
    <row r="12" spans="2:4" x14ac:dyDescent="0.25">
      <c r="B12" t="s">
        <v>360</v>
      </c>
      <c r="C12">
        <f>+C10*C11</f>
        <v>2300</v>
      </c>
      <c r="D12" t="s">
        <v>361</v>
      </c>
    </row>
    <row r="15" spans="2:4" x14ac:dyDescent="0.25">
      <c r="B15" t="s">
        <v>194</v>
      </c>
    </row>
    <row r="17" spans="2:4" x14ac:dyDescent="0.25">
      <c r="B17" t="s">
        <v>235</v>
      </c>
      <c r="C17">
        <f>+C12</f>
        <v>2300</v>
      </c>
    </row>
    <row r="18" spans="2:4" x14ac:dyDescent="0.25">
      <c r="B18" t="s">
        <v>309</v>
      </c>
      <c r="D18">
        <f>+C17</f>
        <v>2300</v>
      </c>
    </row>
    <row r="19" spans="2:4" x14ac:dyDescent="0.25">
      <c r="B19" t="s">
        <v>362</v>
      </c>
    </row>
    <row r="20" spans="2:4" ht="15.75" thickBot="1" x14ac:dyDescent="0.3">
      <c r="C20" s="76">
        <f>SUM(C17:C19)</f>
        <v>2300</v>
      </c>
      <c r="D20" s="76">
        <f>SUM(D17:D19)</f>
        <v>2300</v>
      </c>
    </row>
    <row r="21" spans="2:4" ht="15.75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opLeftCell="A7" workbookViewId="0">
      <selection activeCell="C31" sqref="C31"/>
    </sheetView>
  </sheetViews>
  <sheetFormatPr baseColWidth="10" defaultRowHeight="15" x14ac:dyDescent="0.25"/>
  <cols>
    <col min="1" max="1" width="3.5703125" customWidth="1"/>
    <col min="3" max="3" width="32.5703125" customWidth="1"/>
  </cols>
  <sheetData>
    <row r="2" spans="2:5" x14ac:dyDescent="0.25">
      <c r="B2" s="65" t="s">
        <v>364</v>
      </c>
    </row>
    <row r="4" spans="2:5" x14ac:dyDescent="0.25">
      <c r="B4" t="s">
        <v>365</v>
      </c>
      <c r="C4" t="s">
        <v>366</v>
      </c>
    </row>
    <row r="10" spans="2:5" x14ac:dyDescent="0.25">
      <c r="B10" t="s">
        <v>314</v>
      </c>
    </row>
    <row r="11" spans="2:5" x14ac:dyDescent="0.25">
      <c r="C11" t="s">
        <v>367</v>
      </c>
      <c r="D11">
        <v>2000</v>
      </c>
      <c r="E11" t="s">
        <v>370</v>
      </c>
    </row>
    <row r="12" spans="2:5" x14ac:dyDescent="0.25">
      <c r="C12" t="s">
        <v>368</v>
      </c>
      <c r="D12">
        <v>2100</v>
      </c>
      <c r="E12" t="s">
        <v>19</v>
      </c>
    </row>
    <row r="13" spans="2:5" x14ac:dyDescent="0.25">
      <c r="C13" t="s">
        <v>369</v>
      </c>
      <c r="D13">
        <v>900</v>
      </c>
      <c r="E13" t="s">
        <v>371</v>
      </c>
    </row>
    <row r="14" spans="2:5" x14ac:dyDescent="0.25">
      <c r="D14">
        <f>SUM(D11:D13)</f>
        <v>5000</v>
      </c>
    </row>
    <row r="17" spans="2:5" x14ac:dyDescent="0.25">
      <c r="C17" t="s">
        <v>372</v>
      </c>
    </row>
    <row r="18" spans="2:5" x14ac:dyDescent="0.25">
      <c r="C18" t="s">
        <v>373</v>
      </c>
      <c r="D18">
        <v>3000</v>
      </c>
    </row>
    <row r="19" spans="2:5" x14ac:dyDescent="0.25">
      <c r="C19" t="s">
        <v>374</v>
      </c>
      <c r="D19">
        <v>-1300</v>
      </c>
    </row>
    <row r="20" spans="2:5" x14ac:dyDescent="0.25">
      <c r="C20" t="s">
        <v>375</v>
      </c>
      <c r="D20">
        <f>+D18+D19</f>
        <v>1700</v>
      </c>
    </row>
    <row r="23" spans="2:5" x14ac:dyDescent="0.25">
      <c r="B23" t="s">
        <v>376</v>
      </c>
    </row>
    <row r="25" spans="2:5" x14ac:dyDescent="0.25">
      <c r="C25" t="s">
        <v>249</v>
      </c>
      <c r="D25">
        <f>+D18</f>
        <v>3000</v>
      </c>
    </row>
    <row r="26" spans="2:5" x14ac:dyDescent="0.25">
      <c r="C26" t="s">
        <v>377</v>
      </c>
      <c r="E26">
        <f>-D19</f>
        <v>1300</v>
      </c>
    </row>
    <row r="27" spans="2:5" x14ac:dyDescent="0.25">
      <c r="C27" t="s">
        <v>309</v>
      </c>
      <c r="E27">
        <f>+D11+D13</f>
        <v>2900</v>
      </c>
    </row>
    <row r="28" spans="2:5" x14ac:dyDescent="0.25">
      <c r="C28" t="s">
        <v>378</v>
      </c>
      <c r="D28">
        <f>+D13</f>
        <v>900</v>
      </c>
    </row>
    <row r="29" spans="2:5" x14ac:dyDescent="0.25">
      <c r="C29" t="s">
        <v>235</v>
      </c>
      <c r="D29">
        <f>+D11-D20</f>
        <v>300</v>
      </c>
    </row>
    <row r="30" spans="2:5" ht="15.75" thickBot="1" x14ac:dyDescent="0.3">
      <c r="D30" s="78">
        <f>SUM(D25:D29)</f>
        <v>4200</v>
      </c>
      <c r="E30" s="78">
        <f>SUM(E25:E29)</f>
        <v>4200</v>
      </c>
    </row>
    <row r="31" spans="2:5" ht="15.75" thickTop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A10" workbookViewId="0">
      <selection activeCell="C24" sqref="C24"/>
    </sheetView>
  </sheetViews>
  <sheetFormatPr baseColWidth="10" defaultRowHeight="15" x14ac:dyDescent="0.25"/>
  <cols>
    <col min="1" max="1" width="4.140625" style="68" customWidth="1"/>
    <col min="2" max="2" width="27.85546875" style="68" customWidth="1"/>
    <col min="3" max="3" width="20.140625" style="68" customWidth="1"/>
    <col min="4" max="8" width="11.42578125" style="68"/>
    <col min="9" max="9" width="26.42578125" style="68" customWidth="1"/>
    <col min="10" max="16384" width="11.42578125" style="68"/>
  </cols>
  <sheetData>
    <row r="2" spans="2:10" x14ac:dyDescent="0.25">
      <c r="B2" s="67" t="s">
        <v>383</v>
      </c>
    </row>
    <row r="4" spans="2:10" x14ac:dyDescent="0.25">
      <c r="B4" s="68" t="s">
        <v>134</v>
      </c>
      <c r="C4" s="68" t="s">
        <v>385</v>
      </c>
    </row>
    <row r="8" spans="2:10" x14ac:dyDescent="0.25">
      <c r="B8" s="68" t="s">
        <v>384</v>
      </c>
      <c r="C8" s="68" t="s">
        <v>386</v>
      </c>
    </row>
    <row r="11" spans="2:10" x14ac:dyDescent="0.25">
      <c r="B11" s="68" t="s">
        <v>137</v>
      </c>
      <c r="D11" s="68" t="s">
        <v>388</v>
      </c>
      <c r="E11" s="68" t="s">
        <v>374</v>
      </c>
      <c r="F11" s="68" t="s">
        <v>375</v>
      </c>
      <c r="G11" s="68" t="s">
        <v>391</v>
      </c>
      <c r="H11" s="68" t="s">
        <v>125</v>
      </c>
    </row>
    <row r="12" spans="2:10" x14ac:dyDescent="0.25">
      <c r="C12" s="68" t="s">
        <v>387</v>
      </c>
      <c r="D12" s="68">
        <v>2000</v>
      </c>
      <c r="F12" s="68">
        <f>+D12-E12</f>
        <v>2000</v>
      </c>
      <c r="G12" s="68">
        <v>3500</v>
      </c>
      <c r="H12" s="68">
        <f>+G12-F12</f>
        <v>1500</v>
      </c>
      <c r="I12" s="68" t="s">
        <v>393</v>
      </c>
      <c r="J12" s="68" t="s">
        <v>394</v>
      </c>
    </row>
    <row r="13" spans="2:10" x14ac:dyDescent="0.25">
      <c r="C13" s="68" t="s">
        <v>389</v>
      </c>
      <c r="D13" s="68">
        <v>6000</v>
      </c>
      <c r="E13" s="68">
        <v>3000</v>
      </c>
      <c r="F13" s="68">
        <f t="shared" ref="F13:F15" si="0">+D13-E13</f>
        <v>3000</v>
      </c>
      <c r="G13" s="68">
        <v>13000</v>
      </c>
      <c r="H13" s="68">
        <f>+G13-F13</f>
        <v>10000</v>
      </c>
      <c r="I13" s="68" t="s">
        <v>393</v>
      </c>
      <c r="J13" s="68" t="s">
        <v>394</v>
      </c>
    </row>
    <row r="14" spans="2:10" x14ac:dyDescent="0.25">
      <c r="C14" s="68" t="s">
        <v>390</v>
      </c>
      <c r="D14" s="68">
        <v>5000</v>
      </c>
      <c r="E14" s="68">
        <v>2000</v>
      </c>
      <c r="F14" s="68">
        <f t="shared" si="0"/>
        <v>3000</v>
      </c>
      <c r="G14" s="68">
        <v>12000</v>
      </c>
      <c r="H14" s="68">
        <f>+G14-F14</f>
        <v>9000</v>
      </c>
      <c r="I14" s="68" t="s">
        <v>392</v>
      </c>
      <c r="J14" s="68" t="s">
        <v>371</v>
      </c>
    </row>
    <row r="15" spans="2:10" x14ac:dyDescent="0.25">
      <c r="D15" s="68">
        <f>SUM(D12:D14)</f>
        <v>13000</v>
      </c>
      <c r="E15" s="68">
        <f>SUM(E12:E14)</f>
        <v>5000</v>
      </c>
      <c r="F15" s="68">
        <f t="shared" si="0"/>
        <v>8000</v>
      </c>
      <c r="G15" s="68">
        <f>SUM(G12:G14)</f>
        <v>28500</v>
      </c>
    </row>
    <row r="19" spans="2:4" x14ac:dyDescent="0.25">
      <c r="B19" s="68" t="s">
        <v>395</v>
      </c>
    </row>
    <row r="21" spans="2:4" x14ac:dyDescent="0.25">
      <c r="B21" s="68" t="s">
        <v>249</v>
      </c>
    </row>
    <row r="22" spans="2:4" x14ac:dyDescent="0.25">
      <c r="B22" s="68" t="s">
        <v>387</v>
      </c>
      <c r="C22" s="68">
        <f>+G12</f>
        <v>3500</v>
      </c>
    </row>
    <row r="23" spans="2:4" x14ac:dyDescent="0.25">
      <c r="B23" s="68" t="s">
        <v>396</v>
      </c>
      <c r="C23" s="68">
        <f>+G13</f>
        <v>13000</v>
      </c>
    </row>
    <row r="24" spans="2:4" x14ac:dyDescent="0.25">
      <c r="B24" s="68" t="s">
        <v>403</v>
      </c>
      <c r="C24" s="68">
        <f>+G14</f>
        <v>12000</v>
      </c>
    </row>
    <row r="25" spans="2:4" x14ac:dyDescent="0.25">
      <c r="B25" s="68" t="s">
        <v>397</v>
      </c>
      <c r="D25" s="68">
        <f>+D15</f>
        <v>13000</v>
      </c>
    </row>
    <row r="26" spans="2:4" x14ac:dyDescent="0.25">
      <c r="B26" s="68" t="s">
        <v>396</v>
      </c>
    </row>
    <row r="27" spans="2:4" x14ac:dyDescent="0.25">
      <c r="B27" s="68" t="s">
        <v>398</v>
      </c>
      <c r="C27" s="68">
        <f>+E15</f>
        <v>5000</v>
      </c>
    </row>
    <row r="28" spans="2:4" x14ac:dyDescent="0.25">
      <c r="B28" s="68" t="s">
        <v>399</v>
      </c>
      <c r="D28" s="68">
        <f>+H12+H13</f>
        <v>11500</v>
      </c>
    </row>
    <row r="29" spans="2:4" x14ac:dyDescent="0.25">
      <c r="B29" s="68" t="s">
        <v>177</v>
      </c>
      <c r="D29" s="68">
        <f>+H14</f>
        <v>9000</v>
      </c>
    </row>
    <row r="30" spans="2:4" ht="15.75" thickBot="1" x14ac:dyDescent="0.3">
      <c r="C30" s="69">
        <f>SUM(C22:C29)</f>
        <v>33500</v>
      </c>
      <c r="D30" s="69">
        <f>SUM(D22:D29)</f>
        <v>33500</v>
      </c>
    </row>
    <row r="31" spans="2:4" ht="15.75" thickTop="1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0"/>
  <sheetViews>
    <sheetView topLeftCell="A53" zoomScale="120" zoomScaleNormal="120" workbookViewId="0">
      <selection activeCell="C70" sqref="C70:D70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14.28515625" customWidth="1"/>
  </cols>
  <sheetData>
    <row r="2" spans="2:4" x14ac:dyDescent="0.25">
      <c r="B2" s="65" t="s">
        <v>404</v>
      </c>
    </row>
    <row r="12" spans="2:4" x14ac:dyDescent="0.25">
      <c r="B12" t="s">
        <v>170</v>
      </c>
      <c r="C12" t="s">
        <v>388</v>
      </c>
      <c r="D12">
        <f>+HT!C49</f>
        <v>54000</v>
      </c>
    </row>
    <row r="13" spans="2:4" x14ac:dyDescent="0.25">
      <c r="C13" t="s">
        <v>374</v>
      </c>
      <c r="D13">
        <v>-20000</v>
      </c>
    </row>
    <row r="14" spans="2:4" x14ac:dyDescent="0.25">
      <c r="D14">
        <f>+D12+D13</f>
        <v>34000</v>
      </c>
    </row>
    <row r="16" spans="2:4" x14ac:dyDescent="0.25">
      <c r="C16" t="s">
        <v>405</v>
      </c>
      <c r="D16">
        <v>57000</v>
      </c>
    </row>
    <row r="17" spans="2:5" x14ac:dyDescent="0.25">
      <c r="C17" t="s">
        <v>125</v>
      </c>
      <c r="D17">
        <f>+D16-D14</f>
        <v>23000</v>
      </c>
    </row>
    <row r="20" spans="2:5" x14ac:dyDescent="0.25">
      <c r="B20" s="65" t="s">
        <v>406</v>
      </c>
    </row>
    <row r="22" spans="2:5" x14ac:dyDescent="0.25">
      <c r="C22" t="s">
        <v>407</v>
      </c>
      <c r="D22">
        <f>+D16</f>
        <v>57000</v>
      </c>
    </row>
    <row r="23" spans="2:5" x14ac:dyDescent="0.25">
      <c r="C23" t="s">
        <v>408</v>
      </c>
    </row>
    <row r="24" spans="2:5" x14ac:dyDescent="0.25">
      <c r="C24" t="s">
        <v>409</v>
      </c>
      <c r="E24">
        <f>+D12</f>
        <v>54000</v>
      </c>
    </row>
    <row r="25" spans="2:5" x14ac:dyDescent="0.25">
      <c r="C25" t="s">
        <v>398</v>
      </c>
      <c r="D25">
        <f>-D13</f>
        <v>20000</v>
      </c>
    </row>
    <row r="26" spans="2:5" x14ac:dyDescent="0.25">
      <c r="C26" t="s">
        <v>410</v>
      </c>
      <c r="E26">
        <f>+D17</f>
        <v>23000</v>
      </c>
    </row>
    <row r="28" spans="2:5" x14ac:dyDescent="0.25">
      <c r="D28" s="65">
        <f>SUM(D22:D27)</f>
        <v>77000</v>
      </c>
      <c r="E28" s="65">
        <f>SUM(E22:E27)</f>
        <v>77000</v>
      </c>
    </row>
    <row r="31" spans="2:5" x14ac:dyDescent="0.25">
      <c r="B31" t="s">
        <v>411</v>
      </c>
    </row>
    <row r="33" spans="2:4" x14ac:dyDescent="0.25">
      <c r="B33" t="s">
        <v>412</v>
      </c>
      <c r="C33">
        <v>6000</v>
      </c>
    </row>
    <row r="34" spans="2:4" x14ac:dyDescent="0.25">
      <c r="B34" t="s">
        <v>413</v>
      </c>
      <c r="C34" s="71">
        <v>0.06</v>
      </c>
      <c r="D34" t="s">
        <v>414</v>
      </c>
    </row>
    <row r="35" spans="2:4" x14ac:dyDescent="0.25">
      <c r="B35" t="s">
        <v>415</v>
      </c>
      <c r="C35">
        <v>8</v>
      </c>
    </row>
    <row r="36" spans="2:4" x14ac:dyDescent="0.25">
      <c r="B36" t="s">
        <v>416</v>
      </c>
      <c r="C36" s="68">
        <f>+C33*(1+C34)^C35</f>
        <v>9563.0884471850532</v>
      </c>
    </row>
    <row r="37" spans="2:4" x14ac:dyDescent="0.25">
      <c r="B37" t="s">
        <v>417</v>
      </c>
      <c r="C37" s="71">
        <v>0.09</v>
      </c>
    </row>
    <row r="38" spans="2:4" x14ac:dyDescent="0.25">
      <c r="B38" t="s">
        <v>418</v>
      </c>
      <c r="C38">
        <v>8</v>
      </c>
    </row>
    <row r="39" spans="2:4" x14ac:dyDescent="0.25">
      <c r="C39" s="68">
        <f>+C36/(1+C37)^C38</f>
        <v>4799.3916211703918</v>
      </c>
      <c r="D39" t="s">
        <v>41</v>
      </c>
    </row>
    <row r="40" spans="2:4" x14ac:dyDescent="0.25">
      <c r="B40" t="s">
        <v>419</v>
      </c>
      <c r="C40">
        <v>11</v>
      </c>
    </row>
    <row r="41" spans="2:4" x14ac:dyDescent="0.25">
      <c r="C41" s="68">
        <f>+C39/(1+C37)^C40</f>
        <v>1859.9219149605447</v>
      </c>
      <c r="D41" t="s">
        <v>4</v>
      </c>
    </row>
    <row r="43" spans="2:4" x14ac:dyDescent="0.25">
      <c r="B43" t="s">
        <v>290</v>
      </c>
    </row>
    <row r="45" spans="2:4" x14ac:dyDescent="0.25">
      <c r="B45" t="s">
        <v>249</v>
      </c>
      <c r="C45" s="74">
        <f>+C41</f>
        <v>1859.9219149605447</v>
      </c>
    </row>
    <row r="46" spans="2:4" x14ac:dyDescent="0.25">
      <c r="B46" t="s">
        <v>420</v>
      </c>
      <c r="D46" s="74">
        <f>+C39</f>
        <v>4799.3916211703918</v>
      </c>
    </row>
    <row r="47" spans="2:4" x14ac:dyDescent="0.25">
      <c r="B47" t="s">
        <v>235</v>
      </c>
      <c r="C47" s="74">
        <f>+D46-C45</f>
        <v>2939.4697062098471</v>
      </c>
    </row>
    <row r="48" spans="2:4" x14ac:dyDescent="0.25">
      <c r="C48" s="75">
        <f>SUM(C45:C47)</f>
        <v>4799.3916211703918</v>
      </c>
      <c r="D48" s="75">
        <f>SUM(D45:D47)</f>
        <v>4799.3916211703918</v>
      </c>
    </row>
    <row r="51" spans="2:4" x14ac:dyDescent="0.25">
      <c r="B51" t="s">
        <v>421</v>
      </c>
    </row>
    <row r="53" spans="2:4" x14ac:dyDescent="0.25">
      <c r="B53" t="s">
        <v>422</v>
      </c>
      <c r="C53" s="74">
        <f>+C45</f>
        <v>1859.9219149605447</v>
      </c>
    </row>
    <row r="54" spans="2:4" x14ac:dyDescent="0.25">
      <c r="B54" t="s">
        <v>423</v>
      </c>
      <c r="C54">
        <f>+C38+C40</f>
        <v>19</v>
      </c>
    </row>
    <row r="55" spans="2:4" x14ac:dyDescent="0.25">
      <c r="B55" t="s">
        <v>424</v>
      </c>
      <c r="C55" s="68">
        <f>+C53/C54</f>
        <v>97.89062710318656</v>
      </c>
    </row>
    <row r="56" spans="2:4" x14ac:dyDescent="0.25">
      <c r="B56" t="s">
        <v>425</v>
      </c>
      <c r="C56">
        <f>+C40</f>
        <v>11</v>
      </c>
    </row>
    <row r="57" spans="2:4" x14ac:dyDescent="0.25">
      <c r="B57" t="s">
        <v>426</v>
      </c>
      <c r="C57" s="68">
        <f>+C55*C56</f>
        <v>1076.7968981350521</v>
      </c>
    </row>
    <row r="59" spans="2:4" x14ac:dyDescent="0.25">
      <c r="B59" t="s">
        <v>194</v>
      </c>
    </row>
    <row r="61" spans="2:4" x14ac:dyDescent="0.25">
      <c r="B61" t="s">
        <v>235</v>
      </c>
      <c r="C61" s="74">
        <f>+C57</f>
        <v>1076.7968981350521</v>
      </c>
    </row>
    <row r="62" spans="2:4" x14ac:dyDescent="0.25">
      <c r="B62" t="s">
        <v>427</v>
      </c>
      <c r="D62" s="74">
        <f>+C61</f>
        <v>1076.7968981350521</v>
      </c>
    </row>
    <row r="63" spans="2:4" x14ac:dyDescent="0.25">
      <c r="C63" s="75">
        <f>SUM(C61:C62)</f>
        <v>1076.7968981350521</v>
      </c>
      <c r="D63" s="75">
        <f>SUM(D61:D62)</f>
        <v>1076.7968981350521</v>
      </c>
    </row>
    <row r="66" spans="2:4" x14ac:dyDescent="0.25">
      <c r="B66" t="s">
        <v>431</v>
      </c>
    </row>
    <row r="68" spans="2:4" x14ac:dyDescent="0.25">
      <c r="B68" t="s">
        <v>378</v>
      </c>
      <c r="C68">
        <f>+HT!C54</f>
        <v>7000</v>
      </c>
    </row>
    <row r="69" spans="2:4" x14ac:dyDescent="0.25">
      <c r="B69" t="s">
        <v>409</v>
      </c>
      <c r="D69">
        <f>+C68</f>
        <v>7000</v>
      </c>
    </row>
    <row r="70" spans="2:4" x14ac:dyDescent="0.25">
      <c r="B70" t="s">
        <v>432</v>
      </c>
      <c r="C70" s="75">
        <f>SUM(C68:C69)</f>
        <v>7000</v>
      </c>
      <c r="D70" s="75">
        <f>SUM(D68:D69)</f>
        <v>7000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zoomScale="110" zoomScaleNormal="110" workbookViewId="0">
      <selection activeCell="E37" sqref="E37"/>
    </sheetView>
  </sheetViews>
  <sheetFormatPr baseColWidth="10" defaultRowHeight="15" x14ac:dyDescent="0.25"/>
  <cols>
    <col min="1" max="1" width="3.5703125" customWidth="1"/>
    <col min="2" max="2" width="28" customWidth="1"/>
    <col min="3" max="3" width="14.7109375" customWidth="1"/>
  </cols>
  <sheetData>
    <row r="2" spans="2:4" x14ac:dyDescent="0.25">
      <c r="B2" s="65" t="s">
        <v>434</v>
      </c>
    </row>
    <row r="4" spans="2:4" x14ac:dyDescent="0.25">
      <c r="B4" t="s">
        <v>200</v>
      </c>
      <c r="C4" t="s">
        <v>435</v>
      </c>
    </row>
    <row r="8" spans="2:4" x14ac:dyDescent="0.25">
      <c r="B8" t="s">
        <v>436</v>
      </c>
    </row>
    <row r="10" spans="2:4" x14ac:dyDescent="0.25">
      <c r="B10" s="33" t="s">
        <v>33</v>
      </c>
      <c r="C10" s="32">
        <f>SUM(C11:C12)</f>
        <v>11300</v>
      </c>
    </row>
    <row r="11" spans="2:4" x14ac:dyDescent="0.25">
      <c r="B11" s="34" t="s">
        <v>34</v>
      </c>
      <c r="C11" s="31">
        <f>+HT!C59</f>
        <v>2000</v>
      </c>
      <c r="D11" t="s">
        <v>437</v>
      </c>
    </row>
    <row r="12" spans="2:4" x14ac:dyDescent="0.25">
      <c r="B12" s="34" t="s">
        <v>35</v>
      </c>
      <c r="C12" s="31">
        <f>+HT!C60</f>
        <v>9300</v>
      </c>
      <c r="D12" t="s">
        <v>438</v>
      </c>
    </row>
    <row r="13" spans="2:4" x14ac:dyDescent="0.25">
      <c r="B13" s="34"/>
      <c r="C13" s="31"/>
    </row>
    <row r="14" spans="2:4" x14ac:dyDescent="0.25">
      <c r="B14" s="33" t="s">
        <v>36</v>
      </c>
      <c r="C14" s="32">
        <f>+C15</f>
        <v>1200</v>
      </c>
    </row>
    <row r="15" spans="2:4" x14ac:dyDescent="0.25">
      <c r="B15" s="34" t="s">
        <v>37</v>
      </c>
      <c r="C15" s="31">
        <f>+HT!C63</f>
        <v>1200</v>
      </c>
      <c r="D15" t="s">
        <v>438</v>
      </c>
    </row>
    <row r="16" spans="2:4" x14ac:dyDescent="0.25">
      <c r="B16" s="34"/>
      <c r="C16" s="31"/>
    </row>
    <row r="17" spans="2:4" x14ac:dyDescent="0.25">
      <c r="B17" s="33" t="s">
        <v>38</v>
      </c>
      <c r="C17" s="32">
        <f>+C18</f>
        <v>38000</v>
      </c>
    </row>
    <row r="18" spans="2:4" x14ac:dyDescent="0.25">
      <c r="B18" s="34" t="s">
        <v>39</v>
      </c>
      <c r="C18" s="31">
        <f>+HT!C66</f>
        <v>38000</v>
      </c>
      <c r="D18" t="s">
        <v>438</v>
      </c>
    </row>
    <row r="21" spans="2:4" x14ac:dyDescent="0.25">
      <c r="B21" t="s">
        <v>257</v>
      </c>
    </row>
    <row r="23" spans="2:4" x14ac:dyDescent="0.25">
      <c r="B23" t="s">
        <v>439</v>
      </c>
      <c r="C23" s="74">
        <f>+C12+C15</f>
        <v>10500</v>
      </c>
    </row>
    <row r="25" spans="2:4" x14ac:dyDescent="0.25">
      <c r="B25" t="s">
        <v>440</v>
      </c>
      <c r="D25" s="74">
        <f>+C12</f>
        <v>9300</v>
      </c>
    </row>
    <row r="26" spans="2:4" x14ac:dyDescent="0.25">
      <c r="B26" t="s">
        <v>441</v>
      </c>
      <c r="D26" s="74">
        <f>+C15</f>
        <v>1200</v>
      </c>
    </row>
    <row r="28" spans="2:4" x14ac:dyDescent="0.25">
      <c r="B28" t="s">
        <v>442</v>
      </c>
      <c r="C28" s="74">
        <f>+C18</f>
        <v>38000</v>
      </c>
    </row>
    <row r="29" spans="2:4" x14ac:dyDescent="0.25">
      <c r="B29" t="s">
        <v>443</v>
      </c>
      <c r="D29" s="74">
        <f>+C28</f>
        <v>38000</v>
      </c>
    </row>
    <row r="31" spans="2:4" x14ac:dyDescent="0.25">
      <c r="C31" s="75">
        <f>SUM(C23:C30)</f>
        <v>48500</v>
      </c>
      <c r="D31" s="75">
        <f>SUM(D23:D30)</f>
        <v>48500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10" zoomScale="120" zoomScaleNormal="120" workbookViewId="0">
      <selection activeCell="D29" sqref="D29"/>
    </sheetView>
  </sheetViews>
  <sheetFormatPr baseColWidth="10" defaultRowHeight="15" x14ac:dyDescent="0.25"/>
  <cols>
    <col min="1" max="1" width="3" customWidth="1"/>
  </cols>
  <sheetData>
    <row r="2" spans="2:5" x14ac:dyDescent="0.25">
      <c r="B2" s="65" t="s">
        <v>448</v>
      </c>
    </row>
    <row r="4" spans="2:5" x14ac:dyDescent="0.25">
      <c r="B4" t="s">
        <v>451</v>
      </c>
    </row>
    <row r="6" spans="2:5" x14ac:dyDescent="0.25">
      <c r="B6" t="s">
        <v>449</v>
      </c>
    </row>
    <row r="8" spans="2:5" x14ac:dyDescent="0.25">
      <c r="B8" t="s">
        <v>422</v>
      </c>
      <c r="D8" s="81">
        <v>2550</v>
      </c>
    </row>
    <row r="9" spans="2:5" x14ac:dyDescent="0.25">
      <c r="B9" s="156" t="s">
        <v>445</v>
      </c>
      <c r="C9" s="156"/>
      <c r="D9" s="81">
        <v>120</v>
      </c>
      <c r="E9" t="s">
        <v>450</v>
      </c>
    </row>
    <row r="10" spans="2:5" x14ac:dyDescent="0.25">
      <c r="B10" s="156" t="s">
        <v>446</v>
      </c>
      <c r="C10" s="156"/>
      <c r="D10" s="81">
        <v>2480</v>
      </c>
      <c r="E10" t="s">
        <v>450</v>
      </c>
    </row>
    <row r="11" spans="2:5" x14ac:dyDescent="0.25">
      <c r="B11" s="157" t="s">
        <v>447</v>
      </c>
      <c r="C11" s="157"/>
      <c r="D11" s="82">
        <v>5150</v>
      </c>
    </row>
    <row r="13" spans="2:5" x14ac:dyDescent="0.25">
      <c r="B13" t="s">
        <v>452</v>
      </c>
      <c r="D13" s="81">
        <v>1100</v>
      </c>
    </row>
    <row r="16" spans="2:5" x14ac:dyDescent="0.25">
      <c r="B16" t="s">
        <v>194</v>
      </c>
    </row>
    <row r="18" spans="2:5" x14ac:dyDescent="0.25">
      <c r="B18" t="s">
        <v>453</v>
      </c>
      <c r="D18" s="81">
        <f>+D13</f>
        <v>1100</v>
      </c>
    </row>
    <row r="19" spans="2:5" x14ac:dyDescent="0.25">
      <c r="B19" t="s">
        <v>454</v>
      </c>
    </row>
    <row r="20" spans="2:5" x14ac:dyDescent="0.25">
      <c r="B20" t="s">
        <v>432</v>
      </c>
      <c r="E20" s="81">
        <f>+D9</f>
        <v>120</v>
      </c>
    </row>
    <row r="21" spans="2:5" x14ac:dyDescent="0.25">
      <c r="B21" t="s">
        <v>455</v>
      </c>
      <c r="E21" s="81">
        <f>+D10</f>
        <v>2480</v>
      </c>
    </row>
    <row r="22" spans="2:5" x14ac:dyDescent="0.25">
      <c r="B22" t="s">
        <v>173</v>
      </c>
      <c r="D22" s="81">
        <f>+D8</f>
        <v>2550</v>
      </c>
    </row>
    <row r="23" spans="2:5" x14ac:dyDescent="0.25">
      <c r="B23" t="s">
        <v>456</v>
      </c>
    </row>
    <row r="24" spans="2:5" x14ac:dyDescent="0.25">
      <c r="B24" t="s">
        <v>454</v>
      </c>
      <c r="E24" s="81">
        <f>+D22</f>
        <v>2550</v>
      </c>
    </row>
    <row r="25" spans="2:5" x14ac:dyDescent="0.25">
      <c r="B25" t="s">
        <v>235</v>
      </c>
      <c r="D25" s="81">
        <f>+D9+D10-D13</f>
        <v>1500</v>
      </c>
    </row>
    <row r="26" spans="2:5" x14ac:dyDescent="0.25">
      <c r="D26" s="82">
        <f>SUM(D18:D25)</f>
        <v>5150</v>
      </c>
      <c r="E26" s="82">
        <f>SUM(E18:E25)</f>
        <v>5150</v>
      </c>
    </row>
  </sheetData>
  <mergeCells count="3">
    <mergeCell ref="B9:C9"/>
    <mergeCell ref="B10:C10"/>
    <mergeCell ref="B11:C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79"/>
  <sheetViews>
    <sheetView workbookViewId="0">
      <selection activeCell="B2" sqref="B2"/>
    </sheetView>
  </sheetViews>
  <sheetFormatPr baseColWidth="10" defaultColWidth="10.85546875" defaultRowHeight="15" x14ac:dyDescent="0.25"/>
  <cols>
    <col min="1" max="1" width="6.28515625" style="84" customWidth="1"/>
    <col min="2" max="2" width="30.140625" style="84" customWidth="1"/>
    <col min="3" max="3" width="15.42578125" style="84" bestFit="1" customWidth="1"/>
    <col min="4" max="4" width="19.140625" style="84" customWidth="1"/>
    <col min="5" max="5" width="14.7109375" style="84" bestFit="1" customWidth="1"/>
    <col min="6" max="6" width="18.42578125" style="84" customWidth="1"/>
    <col min="7" max="8" width="11.5703125" style="84" bestFit="1" customWidth="1"/>
    <col min="9" max="256" width="10.85546875" style="84"/>
    <col min="257" max="257" width="6.28515625" style="84" customWidth="1"/>
    <col min="258" max="258" width="30.140625" style="84" customWidth="1"/>
    <col min="259" max="259" width="15.42578125" style="84" bestFit="1" customWidth="1"/>
    <col min="260" max="260" width="19.140625" style="84" customWidth="1"/>
    <col min="261" max="261" width="14.7109375" style="84" bestFit="1" customWidth="1"/>
    <col min="262" max="262" width="18.42578125" style="84" customWidth="1"/>
    <col min="263" max="512" width="10.85546875" style="84"/>
    <col min="513" max="513" width="6.28515625" style="84" customWidth="1"/>
    <col min="514" max="514" width="30.140625" style="84" customWidth="1"/>
    <col min="515" max="515" width="15.42578125" style="84" bestFit="1" customWidth="1"/>
    <col min="516" max="516" width="19.140625" style="84" customWidth="1"/>
    <col min="517" max="517" width="14.7109375" style="84" bestFit="1" customWidth="1"/>
    <col min="518" max="518" width="18.42578125" style="84" customWidth="1"/>
    <col min="519" max="768" width="10.85546875" style="84"/>
    <col min="769" max="769" width="6.28515625" style="84" customWidth="1"/>
    <col min="770" max="770" width="30.140625" style="84" customWidth="1"/>
    <col min="771" max="771" width="15.42578125" style="84" bestFit="1" customWidth="1"/>
    <col min="772" max="772" width="19.140625" style="84" customWidth="1"/>
    <col min="773" max="773" width="14.7109375" style="84" bestFit="1" customWidth="1"/>
    <col min="774" max="774" width="18.42578125" style="84" customWidth="1"/>
    <col min="775" max="1024" width="10.85546875" style="84"/>
    <col min="1025" max="1025" width="6.28515625" style="84" customWidth="1"/>
    <col min="1026" max="1026" width="30.140625" style="84" customWidth="1"/>
    <col min="1027" max="1027" width="15.42578125" style="84" bestFit="1" customWidth="1"/>
    <col min="1028" max="1028" width="19.140625" style="84" customWidth="1"/>
    <col min="1029" max="1029" width="14.7109375" style="84" bestFit="1" customWidth="1"/>
    <col min="1030" max="1030" width="18.42578125" style="84" customWidth="1"/>
    <col min="1031" max="1280" width="10.85546875" style="84"/>
    <col min="1281" max="1281" width="6.28515625" style="84" customWidth="1"/>
    <col min="1282" max="1282" width="30.140625" style="84" customWidth="1"/>
    <col min="1283" max="1283" width="15.42578125" style="84" bestFit="1" customWidth="1"/>
    <col min="1284" max="1284" width="19.140625" style="84" customWidth="1"/>
    <col min="1285" max="1285" width="14.7109375" style="84" bestFit="1" customWidth="1"/>
    <col min="1286" max="1286" width="18.42578125" style="84" customWidth="1"/>
    <col min="1287" max="1536" width="10.85546875" style="84"/>
    <col min="1537" max="1537" width="6.28515625" style="84" customWidth="1"/>
    <col min="1538" max="1538" width="30.140625" style="84" customWidth="1"/>
    <col min="1539" max="1539" width="15.42578125" style="84" bestFit="1" customWidth="1"/>
    <col min="1540" max="1540" width="19.140625" style="84" customWidth="1"/>
    <col min="1541" max="1541" width="14.7109375" style="84" bestFit="1" customWidth="1"/>
    <col min="1542" max="1542" width="18.42578125" style="84" customWidth="1"/>
    <col min="1543" max="1792" width="10.85546875" style="84"/>
    <col min="1793" max="1793" width="6.28515625" style="84" customWidth="1"/>
    <col min="1794" max="1794" width="30.140625" style="84" customWidth="1"/>
    <col min="1795" max="1795" width="15.42578125" style="84" bestFit="1" customWidth="1"/>
    <col min="1796" max="1796" width="19.140625" style="84" customWidth="1"/>
    <col min="1797" max="1797" width="14.7109375" style="84" bestFit="1" customWidth="1"/>
    <col min="1798" max="1798" width="18.42578125" style="84" customWidth="1"/>
    <col min="1799" max="2048" width="10.85546875" style="84"/>
    <col min="2049" max="2049" width="6.28515625" style="84" customWidth="1"/>
    <col min="2050" max="2050" width="30.140625" style="84" customWidth="1"/>
    <col min="2051" max="2051" width="15.42578125" style="84" bestFit="1" customWidth="1"/>
    <col min="2052" max="2052" width="19.140625" style="84" customWidth="1"/>
    <col min="2053" max="2053" width="14.7109375" style="84" bestFit="1" customWidth="1"/>
    <col min="2054" max="2054" width="18.42578125" style="84" customWidth="1"/>
    <col min="2055" max="2304" width="10.85546875" style="84"/>
    <col min="2305" max="2305" width="6.28515625" style="84" customWidth="1"/>
    <col min="2306" max="2306" width="30.140625" style="84" customWidth="1"/>
    <col min="2307" max="2307" width="15.42578125" style="84" bestFit="1" customWidth="1"/>
    <col min="2308" max="2308" width="19.140625" style="84" customWidth="1"/>
    <col min="2309" max="2309" width="14.7109375" style="84" bestFit="1" customWidth="1"/>
    <col min="2310" max="2310" width="18.42578125" style="84" customWidth="1"/>
    <col min="2311" max="2560" width="10.85546875" style="84"/>
    <col min="2561" max="2561" width="6.28515625" style="84" customWidth="1"/>
    <col min="2562" max="2562" width="30.140625" style="84" customWidth="1"/>
    <col min="2563" max="2563" width="15.42578125" style="84" bestFit="1" customWidth="1"/>
    <col min="2564" max="2564" width="19.140625" style="84" customWidth="1"/>
    <col min="2565" max="2565" width="14.7109375" style="84" bestFit="1" customWidth="1"/>
    <col min="2566" max="2566" width="18.42578125" style="84" customWidth="1"/>
    <col min="2567" max="2816" width="10.85546875" style="84"/>
    <col min="2817" max="2817" width="6.28515625" style="84" customWidth="1"/>
    <col min="2818" max="2818" width="30.140625" style="84" customWidth="1"/>
    <col min="2819" max="2819" width="15.42578125" style="84" bestFit="1" customWidth="1"/>
    <col min="2820" max="2820" width="19.140625" style="84" customWidth="1"/>
    <col min="2821" max="2821" width="14.7109375" style="84" bestFit="1" customWidth="1"/>
    <col min="2822" max="2822" width="18.42578125" style="84" customWidth="1"/>
    <col min="2823" max="3072" width="10.85546875" style="84"/>
    <col min="3073" max="3073" width="6.28515625" style="84" customWidth="1"/>
    <col min="3074" max="3074" width="30.140625" style="84" customWidth="1"/>
    <col min="3075" max="3075" width="15.42578125" style="84" bestFit="1" customWidth="1"/>
    <col min="3076" max="3076" width="19.140625" style="84" customWidth="1"/>
    <col min="3077" max="3077" width="14.7109375" style="84" bestFit="1" customWidth="1"/>
    <col min="3078" max="3078" width="18.42578125" style="84" customWidth="1"/>
    <col min="3079" max="3328" width="10.85546875" style="84"/>
    <col min="3329" max="3329" width="6.28515625" style="84" customWidth="1"/>
    <col min="3330" max="3330" width="30.140625" style="84" customWidth="1"/>
    <col min="3331" max="3331" width="15.42578125" style="84" bestFit="1" customWidth="1"/>
    <col min="3332" max="3332" width="19.140625" style="84" customWidth="1"/>
    <col min="3333" max="3333" width="14.7109375" style="84" bestFit="1" customWidth="1"/>
    <col min="3334" max="3334" width="18.42578125" style="84" customWidth="1"/>
    <col min="3335" max="3584" width="10.85546875" style="84"/>
    <col min="3585" max="3585" width="6.28515625" style="84" customWidth="1"/>
    <col min="3586" max="3586" width="30.140625" style="84" customWidth="1"/>
    <col min="3587" max="3587" width="15.42578125" style="84" bestFit="1" customWidth="1"/>
    <col min="3588" max="3588" width="19.140625" style="84" customWidth="1"/>
    <col min="3589" max="3589" width="14.7109375" style="84" bestFit="1" customWidth="1"/>
    <col min="3590" max="3590" width="18.42578125" style="84" customWidth="1"/>
    <col min="3591" max="3840" width="10.85546875" style="84"/>
    <col min="3841" max="3841" width="6.28515625" style="84" customWidth="1"/>
    <col min="3842" max="3842" width="30.140625" style="84" customWidth="1"/>
    <col min="3843" max="3843" width="15.42578125" style="84" bestFit="1" customWidth="1"/>
    <col min="3844" max="3844" width="19.140625" style="84" customWidth="1"/>
    <col min="3845" max="3845" width="14.7109375" style="84" bestFit="1" customWidth="1"/>
    <col min="3846" max="3846" width="18.42578125" style="84" customWidth="1"/>
    <col min="3847" max="4096" width="10.85546875" style="84"/>
    <col min="4097" max="4097" width="6.28515625" style="84" customWidth="1"/>
    <col min="4098" max="4098" width="30.140625" style="84" customWidth="1"/>
    <col min="4099" max="4099" width="15.42578125" style="84" bestFit="1" customWidth="1"/>
    <col min="4100" max="4100" width="19.140625" style="84" customWidth="1"/>
    <col min="4101" max="4101" width="14.7109375" style="84" bestFit="1" customWidth="1"/>
    <col min="4102" max="4102" width="18.42578125" style="84" customWidth="1"/>
    <col min="4103" max="4352" width="10.85546875" style="84"/>
    <col min="4353" max="4353" width="6.28515625" style="84" customWidth="1"/>
    <col min="4354" max="4354" width="30.140625" style="84" customWidth="1"/>
    <col min="4355" max="4355" width="15.42578125" style="84" bestFit="1" customWidth="1"/>
    <col min="4356" max="4356" width="19.140625" style="84" customWidth="1"/>
    <col min="4357" max="4357" width="14.7109375" style="84" bestFit="1" customWidth="1"/>
    <col min="4358" max="4358" width="18.42578125" style="84" customWidth="1"/>
    <col min="4359" max="4608" width="10.85546875" style="84"/>
    <col min="4609" max="4609" width="6.28515625" style="84" customWidth="1"/>
    <col min="4610" max="4610" width="30.140625" style="84" customWidth="1"/>
    <col min="4611" max="4611" width="15.42578125" style="84" bestFit="1" customWidth="1"/>
    <col min="4612" max="4612" width="19.140625" style="84" customWidth="1"/>
    <col min="4613" max="4613" width="14.7109375" style="84" bestFit="1" customWidth="1"/>
    <col min="4614" max="4614" width="18.42578125" style="84" customWidth="1"/>
    <col min="4615" max="4864" width="10.85546875" style="84"/>
    <col min="4865" max="4865" width="6.28515625" style="84" customWidth="1"/>
    <col min="4866" max="4866" width="30.140625" style="84" customWidth="1"/>
    <col min="4867" max="4867" width="15.42578125" style="84" bestFit="1" customWidth="1"/>
    <col min="4868" max="4868" width="19.140625" style="84" customWidth="1"/>
    <col min="4869" max="4869" width="14.7109375" style="84" bestFit="1" customWidth="1"/>
    <col min="4870" max="4870" width="18.42578125" style="84" customWidth="1"/>
    <col min="4871" max="5120" width="10.85546875" style="84"/>
    <col min="5121" max="5121" width="6.28515625" style="84" customWidth="1"/>
    <col min="5122" max="5122" width="30.140625" style="84" customWidth="1"/>
    <col min="5123" max="5123" width="15.42578125" style="84" bestFit="1" customWidth="1"/>
    <col min="5124" max="5124" width="19.140625" style="84" customWidth="1"/>
    <col min="5125" max="5125" width="14.7109375" style="84" bestFit="1" customWidth="1"/>
    <col min="5126" max="5126" width="18.42578125" style="84" customWidth="1"/>
    <col min="5127" max="5376" width="10.85546875" style="84"/>
    <col min="5377" max="5377" width="6.28515625" style="84" customWidth="1"/>
    <col min="5378" max="5378" width="30.140625" style="84" customWidth="1"/>
    <col min="5379" max="5379" width="15.42578125" style="84" bestFit="1" customWidth="1"/>
    <col min="5380" max="5380" width="19.140625" style="84" customWidth="1"/>
    <col min="5381" max="5381" width="14.7109375" style="84" bestFit="1" customWidth="1"/>
    <col min="5382" max="5382" width="18.42578125" style="84" customWidth="1"/>
    <col min="5383" max="5632" width="10.85546875" style="84"/>
    <col min="5633" max="5633" width="6.28515625" style="84" customWidth="1"/>
    <col min="5634" max="5634" width="30.140625" style="84" customWidth="1"/>
    <col min="5635" max="5635" width="15.42578125" style="84" bestFit="1" customWidth="1"/>
    <col min="5636" max="5636" width="19.140625" style="84" customWidth="1"/>
    <col min="5637" max="5637" width="14.7109375" style="84" bestFit="1" customWidth="1"/>
    <col min="5638" max="5638" width="18.42578125" style="84" customWidth="1"/>
    <col min="5639" max="5888" width="10.85546875" style="84"/>
    <col min="5889" max="5889" width="6.28515625" style="84" customWidth="1"/>
    <col min="5890" max="5890" width="30.140625" style="84" customWidth="1"/>
    <col min="5891" max="5891" width="15.42578125" style="84" bestFit="1" customWidth="1"/>
    <col min="5892" max="5892" width="19.140625" style="84" customWidth="1"/>
    <col min="5893" max="5893" width="14.7109375" style="84" bestFit="1" customWidth="1"/>
    <col min="5894" max="5894" width="18.42578125" style="84" customWidth="1"/>
    <col min="5895" max="6144" width="10.85546875" style="84"/>
    <col min="6145" max="6145" width="6.28515625" style="84" customWidth="1"/>
    <col min="6146" max="6146" width="30.140625" style="84" customWidth="1"/>
    <col min="6147" max="6147" width="15.42578125" style="84" bestFit="1" customWidth="1"/>
    <col min="6148" max="6148" width="19.140625" style="84" customWidth="1"/>
    <col min="6149" max="6149" width="14.7109375" style="84" bestFit="1" customWidth="1"/>
    <col min="6150" max="6150" width="18.42578125" style="84" customWidth="1"/>
    <col min="6151" max="6400" width="10.85546875" style="84"/>
    <col min="6401" max="6401" width="6.28515625" style="84" customWidth="1"/>
    <col min="6402" max="6402" width="30.140625" style="84" customWidth="1"/>
    <col min="6403" max="6403" width="15.42578125" style="84" bestFit="1" customWidth="1"/>
    <col min="6404" max="6404" width="19.140625" style="84" customWidth="1"/>
    <col min="6405" max="6405" width="14.7109375" style="84" bestFit="1" customWidth="1"/>
    <col min="6406" max="6406" width="18.42578125" style="84" customWidth="1"/>
    <col min="6407" max="6656" width="10.85546875" style="84"/>
    <col min="6657" max="6657" width="6.28515625" style="84" customWidth="1"/>
    <col min="6658" max="6658" width="30.140625" style="84" customWidth="1"/>
    <col min="6659" max="6659" width="15.42578125" style="84" bestFit="1" customWidth="1"/>
    <col min="6660" max="6660" width="19.140625" style="84" customWidth="1"/>
    <col min="6661" max="6661" width="14.7109375" style="84" bestFit="1" customWidth="1"/>
    <col min="6662" max="6662" width="18.42578125" style="84" customWidth="1"/>
    <col min="6663" max="6912" width="10.85546875" style="84"/>
    <col min="6913" max="6913" width="6.28515625" style="84" customWidth="1"/>
    <col min="6914" max="6914" width="30.140625" style="84" customWidth="1"/>
    <col min="6915" max="6915" width="15.42578125" style="84" bestFit="1" customWidth="1"/>
    <col min="6916" max="6916" width="19.140625" style="84" customWidth="1"/>
    <col min="6917" max="6917" width="14.7109375" style="84" bestFit="1" customWidth="1"/>
    <col min="6918" max="6918" width="18.42578125" style="84" customWidth="1"/>
    <col min="6919" max="7168" width="10.85546875" style="84"/>
    <col min="7169" max="7169" width="6.28515625" style="84" customWidth="1"/>
    <col min="7170" max="7170" width="30.140625" style="84" customWidth="1"/>
    <col min="7171" max="7171" width="15.42578125" style="84" bestFit="1" customWidth="1"/>
    <col min="7172" max="7172" width="19.140625" style="84" customWidth="1"/>
    <col min="7173" max="7173" width="14.7109375" style="84" bestFit="1" customWidth="1"/>
    <col min="7174" max="7174" width="18.42578125" style="84" customWidth="1"/>
    <col min="7175" max="7424" width="10.85546875" style="84"/>
    <col min="7425" max="7425" width="6.28515625" style="84" customWidth="1"/>
    <col min="7426" max="7426" width="30.140625" style="84" customWidth="1"/>
    <col min="7427" max="7427" width="15.42578125" style="84" bestFit="1" customWidth="1"/>
    <col min="7428" max="7428" width="19.140625" style="84" customWidth="1"/>
    <col min="7429" max="7429" width="14.7109375" style="84" bestFit="1" customWidth="1"/>
    <col min="7430" max="7430" width="18.42578125" style="84" customWidth="1"/>
    <col min="7431" max="7680" width="10.85546875" style="84"/>
    <col min="7681" max="7681" width="6.28515625" style="84" customWidth="1"/>
    <col min="7682" max="7682" width="30.140625" style="84" customWidth="1"/>
    <col min="7683" max="7683" width="15.42578125" style="84" bestFit="1" customWidth="1"/>
    <col min="7684" max="7684" width="19.140625" style="84" customWidth="1"/>
    <col min="7685" max="7685" width="14.7109375" style="84" bestFit="1" customWidth="1"/>
    <col min="7686" max="7686" width="18.42578125" style="84" customWidth="1"/>
    <col min="7687" max="7936" width="10.85546875" style="84"/>
    <col min="7937" max="7937" width="6.28515625" style="84" customWidth="1"/>
    <col min="7938" max="7938" width="30.140625" style="84" customWidth="1"/>
    <col min="7939" max="7939" width="15.42578125" style="84" bestFit="1" customWidth="1"/>
    <col min="7940" max="7940" width="19.140625" style="84" customWidth="1"/>
    <col min="7941" max="7941" width="14.7109375" style="84" bestFit="1" customWidth="1"/>
    <col min="7942" max="7942" width="18.42578125" style="84" customWidth="1"/>
    <col min="7943" max="8192" width="10.85546875" style="84"/>
    <col min="8193" max="8193" width="6.28515625" style="84" customWidth="1"/>
    <col min="8194" max="8194" width="30.140625" style="84" customWidth="1"/>
    <col min="8195" max="8195" width="15.42578125" style="84" bestFit="1" customWidth="1"/>
    <col min="8196" max="8196" width="19.140625" style="84" customWidth="1"/>
    <col min="8197" max="8197" width="14.7109375" style="84" bestFit="1" customWidth="1"/>
    <col min="8198" max="8198" width="18.42578125" style="84" customWidth="1"/>
    <col min="8199" max="8448" width="10.85546875" style="84"/>
    <col min="8449" max="8449" width="6.28515625" style="84" customWidth="1"/>
    <col min="8450" max="8450" width="30.140625" style="84" customWidth="1"/>
    <col min="8451" max="8451" width="15.42578125" style="84" bestFit="1" customWidth="1"/>
    <col min="8452" max="8452" width="19.140625" style="84" customWidth="1"/>
    <col min="8453" max="8453" width="14.7109375" style="84" bestFit="1" customWidth="1"/>
    <col min="8454" max="8454" width="18.42578125" style="84" customWidth="1"/>
    <col min="8455" max="8704" width="10.85546875" style="84"/>
    <col min="8705" max="8705" width="6.28515625" style="84" customWidth="1"/>
    <col min="8706" max="8706" width="30.140625" style="84" customWidth="1"/>
    <col min="8707" max="8707" width="15.42578125" style="84" bestFit="1" customWidth="1"/>
    <col min="8708" max="8708" width="19.140625" style="84" customWidth="1"/>
    <col min="8709" max="8709" width="14.7109375" style="84" bestFit="1" customWidth="1"/>
    <col min="8710" max="8710" width="18.42578125" style="84" customWidth="1"/>
    <col min="8711" max="8960" width="10.85546875" style="84"/>
    <col min="8961" max="8961" width="6.28515625" style="84" customWidth="1"/>
    <col min="8962" max="8962" width="30.140625" style="84" customWidth="1"/>
    <col min="8963" max="8963" width="15.42578125" style="84" bestFit="1" customWidth="1"/>
    <col min="8964" max="8964" width="19.140625" style="84" customWidth="1"/>
    <col min="8965" max="8965" width="14.7109375" style="84" bestFit="1" customWidth="1"/>
    <col min="8966" max="8966" width="18.42578125" style="84" customWidth="1"/>
    <col min="8967" max="9216" width="10.85546875" style="84"/>
    <col min="9217" max="9217" width="6.28515625" style="84" customWidth="1"/>
    <col min="9218" max="9218" width="30.140625" style="84" customWidth="1"/>
    <col min="9219" max="9219" width="15.42578125" style="84" bestFit="1" customWidth="1"/>
    <col min="9220" max="9220" width="19.140625" style="84" customWidth="1"/>
    <col min="9221" max="9221" width="14.7109375" style="84" bestFit="1" customWidth="1"/>
    <col min="9222" max="9222" width="18.42578125" style="84" customWidth="1"/>
    <col min="9223" max="9472" width="10.85546875" style="84"/>
    <col min="9473" max="9473" width="6.28515625" style="84" customWidth="1"/>
    <col min="9474" max="9474" width="30.140625" style="84" customWidth="1"/>
    <col min="9475" max="9475" width="15.42578125" style="84" bestFit="1" customWidth="1"/>
    <col min="9476" max="9476" width="19.140625" style="84" customWidth="1"/>
    <col min="9477" max="9477" width="14.7109375" style="84" bestFit="1" customWidth="1"/>
    <col min="9478" max="9478" width="18.42578125" style="84" customWidth="1"/>
    <col min="9479" max="9728" width="10.85546875" style="84"/>
    <col min="9729" max="9729" width="6.28515625" style="84" customWidth="1"/>
    <col min="9730" max="9730" width="30.140625" style="84" customWidth="1"/>
    <col min="9731" max="9731" width="15.42578125" style="84" bestFit="1" customWidth="1"/>
    <col min="9732" max="9732" width="19.140625" style="84" customWidth="1"/>
    <col min="9733" max="9733" width="14.7109375" style="84" bestFit="1" customWidth="1"/>
    <col min="9734" max="9734" width="18.42578125" style="84" customWidth="1"/>
    <col min="9735" max="9984" width="10.85546875" style="84"/>
    <col min="9985" max="9985" width="6.28515625" style="84" customWidth="1"/>
    <col min="9986" max="9986" width="30.140625" style="84" customWidth="1"/>
    <col min="9987" max="9987" width="15.42578125" style="84" bestFit="1" customWidth="1"/>
    <col min="9988" max="9988" width="19.140625" style="84" customWidth="1"/>
    <col min="9989" max="9989" width="14.7109375" style="84" bestFit="1" customWidth="1"/>
    <col min="9990" max="9990" width="18.42578125" style="84" customWidth="1"/>
    <col min="9991" max="10240" width="10.85546875" style="84"/>
    <col min="10241" max="10241" width="6.28515625" style="84" customWidth="1"/>
    <col min="10242" max="10242" width="30.140625" style="84" customWidth="1"/>
    <col min="10243" max="10243" width="15.42578125" style="84" bestFit="1" customWidth="1"/>
    <col min="10244" max="10244" width="19.140625" style="84" customWidth="1"/>
    <col min="10245" max="10245" width="14.7109375" style="84" bestFit="1" customWidth="1"/>
    <col min="10246" max="10246" width="18.42578125" style="84" customWidth="1"/>
    <col min="10247" max="10496" width="10.85546875" style="84"/>
    <col min="10497" max="10497" width="6.28515625" style="84" customWidth="1"/>
    <col min="10498" max="10498" width="30.140625" style="84" customWidth="1"/>
    <col min="10499" max="10499" width="15.42578125" style="84" bestFit="1" customWidth="1"/>
    <col min="10500" max="10500" width="19.140625" style="84" customWidth="1"/>
    <col min="10501" max="10501" width="14.7109375" style="84" bestFit="1" customWidth="1"/>
    <col min="10502" max="10502" width="18.42578125" style="84" customWidth="1"/>
    <col min="10503" max="10752" width="10.85546875" style="84"/>
    <col min="10753" max="10753" width="6.28515625" style="84" customWidth="1"/>
    <col min="10754" max="10754" width="30.140625" style="84" customWidth="1"/>
    <col min="10755" max="10755" width="15.42578125" style="84" bestFit="1" customWidth="1"/>
    <col min="10756" max="10756" width="19.140625" style="84" customWidth="1"/>
    <col min="10757" max="10757" width="14.7109375" style="84" bestFit="1" customWidth="1"/>
    <col min="10758" max="10758" width="18.42578125" style="84" customWidth="1"/>
    <col min="10759" max="11008" width="10.85546875" style="84"/>
    <col min="11009" max="11009" width="6.28515625" style="84" customWidth="1"/>
    <col min="11010" max="11010" width="30.140625" style="84" customWidth="1"/>
    <col min="11011" max="11011" width="15.42578125" style="84" bestFit="1" customWidth="1"/>
    <col min="11012" max="11012" width="19.140625" style="84" customWidth="1"/>
    <col min="11013" max="11013" width="14.7109375" style="84" bestFit="1" customWidth="1"/>
    <col min="11014" max="11014" width="18.42578125" style="84" customWidth="1"/>
    <col min="11015" max="11264" width="10.85546875" style="84"/>
    <col min="11265" max="11265" width="6.28515625" style="84" customWidth="1"/>
    <col min="11266" max="11266" width="30.140625" style="84" customWidth="1"/>
    <col min="11267" max="11267" width="15.42578125" style="84" bestFit="1" customWidth="1"/>
    <col min="11268" max="11268" width="19.140625" style="84" customWidth="1"/>
    <col min="11269" max="11269" width="14.7109375" style="84" bestFit="1" customWidth="1"/>
    <col min="11270" max="11270" width="18.42578125" style="84" customWidth="1"/>
    <col min="11271" max="11520" width="10.85546875" style="84"/>
    <col min="11521" max="11521" width="6.28515625" style="84" customWidth="1"/>
    <col min="11522" max="11522" width="30.140625" style="84" customWidth="1"/>
    <col min="11523" max="11523" width="15.42578125" style="84" bestFit="1" customWidth="1"/>
    <col min="11524" max="11524" width="19.140625" style="84" customWidth="1"/>
    <col min="11525" max="11525" width="14.7109375" style="84" bestFit="1" customWidth="1"/>
    <col min="11526" max="11526" width="18.42578125" style="84" customWidth="1"/>
    <col min="11527" max="11776" width="10.85546875" style="84"/>
    <col min="11777" max="11777" width="6.28515625" style="84" customWidth="1"/>
    <col min="11778" max="11778" width="30.140625" style="84" customWidth="1"/>
    <col min="11779" max="11779" width="15.42578125" style="84" bestFit="1" customWidth="1"/>
    <col min="11780" max="11780" width="19.140625" style="84" customWidth="1"/>
    <col min="11781" max="11781" width="14.7109375" style="84" bestFit="1" customWidth="1"/>
    <col min="11782" max="11782" width="18.42578125" style="84" customWidth="1"/>
    <col min="11783" max="12032" width="10.85546875" style="84"/>
    <col min="12033" max="12033" width="6.28515625" style="84" customWidth="1"/>
    <col min="12034" max="12034" width="30.140625" style="84" customWidth="1"/>
    <col min="12035" max="12035" width="15.42578125" style="84" bestFit="1" customWidth="1"/>
    <col min="12036" max="12036" width="19.140625" style="84" customWidth="1"/>
    <col min="12037" max="12037" width="14.7109375" style="84" bestFit="1" customWidth="1"/>
    <col min="12038" max="12038" width="18.42578125" style="84" customWidth="1"/>
    <col min="12039" max="12288" width="10.85546875" style="84"/>
    <col min="12289" max="12289" width="6.28515625" style="84" customWidth="1"/>
    <col min="12290" max="12290" width="30.140625" style="84" customWidth="1"/>
    <col min="12291" max="12291" width="15.42578125" style="84" bestFit="1" customWidth="1"/>
    <col min="12292" max="12292" width="19.140625" style="84" customWidth="1"/>
    <col min="12293" max="12293" width="14.7109375" style="84" bestFit="1" customWidth="1"/>
    <col min="12294" max="12294" width="18.42578125" style="84" customWidth="1"/>
    <col min="12295" max="12544" width="10.85546875" style="84"/>
    <col min="12545" max="12545" width="6.28515625" style="84" customWidth="1"/>
    <col min="12546" max="12546" width="30.140625" style="84" customWidth="1"/>
    <col min="12547" max="12547" width="15.42578125" style="84" bestFit="1" customWidth="1"/>
    <col min="12548" max="12548" width="19.140625" style="84" customWidth="1"/>
    <col min="12549" max="12549" width="14.7109375" style="84" bestFit="1" customWidth="1"/>
    <col min="12550" max="12550" width="18.42578125" style="84" customWidth="1"/>
    <col min="12551" max="12800" width="10.85546875" style="84"/>
    <col min="12801" max="12801" width="6.28515625" style="84" customWidth="1"/>
    <col min="12802" max="12802" width="30.140625" style="84" customWidth="1"/>
    <col min="12803" max="12803" width="15.42578125" style="84" bestFit="1" customWidth="1"/>
    <col min="12804" max="12804" width="19.140625" style="84" customWidth="1"/>
    <col min="12805" max="12805" width="14.7109375" style="84" bestFit="1" customWidth="1"/>
    <col min="12806" max="12806" width="18.42578125" style="84" customWidth="1"/>
    <col min="12807" max="13056" width="10.85546875" style="84"/>
    <col min="13057" max="13057" width="6.28515625" style="84" customWidth="1"/>
    <col min="13058" max="13058" width="30.140625" style="84" customWidth="1"/>
    <col min="13059" max="13059" width="15.42578125" style="84" bestFit="1" customWidth="1"/>
    <col min="13060" max="13060" width="19.140625" style="84" customWidth="1"/>
    <col min="13061" max="13061" width="14.7109375" style="84" bestFit="1" customWidth="1"/>
    <col min="13062" max="13062" width="18.42578125" style="84" customWidth="1"/>
    <col min="13063" max="13312" width="10.85546875" style="84"/>
    <col min="13313" max="13313" width="6.28515625" style="84" customWidth="1"/>
    <col min="13314" max="13314" width="30.140625" style="84" customWidth="1"/>
    <col min="13315" max="13315" width="15.42578125" style="84" bestFit="1" customWidth="1"/>
    <col min="13316" max="13316" width="19.140625" style="84" customWidth="1"/>
    <col min="13317" max="13317" width="14.7109375" style="84" bestFit="1" customWidth="1"/>
    <col min="13318" max="13318" width="18.42578125" style="84" customWidth="1"/>
    <col min="13319" max="13568" width="10.85546875" style="84"/>
    <col min="13569" max="13569" width="6.28515625" style="84" customWidth="1"/>
    <col min="13570" max="13570" width="30.140625" style="84" customWidth="1"/>
    <col min="13571" max="13571" width="15.42578125" style="84" bestFit="1" customWidth="1"/>
    <col min="13572" max="13572" width="19.140625" style="84" customWidth="1"/>
    <col min="13573" max="13573" width="14.7109375" style="84" bestFit="1" customWidth="1"/>
    <col min="13574" max="13574" width="18.42578125" style="84" customWidth="1"/>
    <col min="13575" max="13824" width="10.85546875" style="84"/>
    <col min="13825" max="13825" width="6.28515625" style="84" customWidth="1"/>
    <col min="13826" max="13826" width="30.140625" style="84" customWidth="1"/>
    <col min="13827" max="13827" width="15.42578125" style="84" bestFit="1" customWidth="1"/>
    <col min="13828" max="13828" width="19.140625" style="84" customWidth="1"/>
    <col min="13829" max="13829" width="14.7109375" style="84" bestFit="1" customWidth="1"/>
    <col min="13830" max="13830" width="18.42578125" style="84" customWidth="1"/>
    <col min="13831" max="14080" width="10.85546875" style="84"/>
    <col min="14081" max="14081" width="6.28515625" style="84" customWidth="1"/>
    <col min="14082" max="14082" width="30.140625" style="84" customWidth="1"/>
    <col min="14083" max="14083" width="15.42578125" style="84" bestFit="1" customWidth="1"/>
    <col min="14084" max="14084" width="19.140625" style="84" customWidth="1"/>
    <col min="14085" max="14085" width="14.7109375" style="84" bestFit="1" customWidth="1"/>
    <col min="14086" max="14086" width="18.42578125" style="84" customWidth="1"/>
    <col min="14087" max="14336" width="10.85546875" style="84"/>
    <col min="14337" max="14337" width="6.28515625" style="84" customWidth="1"/>
    <col min="14338" max="14338" width="30.140625" style="84" customWidth="1"/>
    <col min="14339" max="14339" width="15.42578125" style="84" bestFit="1" customWidth="1"/>
    <col min="14340" max="14340" width="19.140625" style="84" customWidth="1"/>
    <col min="14341" max="14341" width="14.7109375" style="84" bestFit="1" customWidth="1"/>
    <col min="14342" max="14342" width="18.42578125" style="84" customWidth="1"/>
    <col min="14343" max="14592" width="10.85546875" style="84"/>
    <col min="14593" max="14593" width="6.28515625" style="84" customWidth="1"/>
    <col min="14594" max="14594" width="30.140625" style="84" customWidth="1"/>
    <col min="14595" max="14595" width="15.42578125" style="84" bestFit="1" customWidth="1"/>
    <col min="14596" max="14596" width="19.140625" style="84" customWidth="1"/>
    <col min="14597" max="14597" width="14.7109375" style="84" bestFit="1" customWidth="1"/>
    <col min="14598" max="14598" width="18.42578125" style="84" customWidth="1"/>
    <col min="14599" max="14848" width="10.85546875" style="84"/>
    <col min="14849" max="14849" width="6.28515625" style="84" customWidth="1"/>
    <col min="14850" max="14850" width="30.140625" style="84" customWidth="1"/>
    <col min="14851" max="14851" width="15.42578125" style="84" bestFit="1" customWidth="1"/>
    <col min="14852" max="14852" width="19.140625" style="84" customWidth="1"/>
    <col min="14853" max="14853" width="14.7109375" style="84" bestFit="1" customWidth="1"/>
    <col min="14854" max="14854" width="18.42578125" style="84" customWidth="1"/>
    <col min="14855" max="15104" width="10.85546875" style="84"/>
    <col min="15105" max="15105" width="6.28515625" style="84" customWidth="1"/>
    <col min="15106" max="15106" width="30.140625" style="84" customWidth="1"/>
    <col min="15107" max="15107" width="15.42578125" style="84" bestFit="1" customWidth="1"/>
    <col min="15108" max="15108" width="19.140625" style="84" customWidth="1"/>
    <col min="15109" max="15109" width="14.7109375" style="84" bestFit="1" customWidth="1"/>
    <col min="15110" max="15110" width="18.42578125" style="84" customWidth="1"/>
    <col min="15111" max="15360" width="10.85546875" style="84"/>
    <col min="15361" max="15361" width="6.28515625" style="84" customWidth="1"/>
    <col min="15362" max="15362" width="30.140625" style="84" customWidth="1"/>
    <col min="15363" max="15363" width="15.42578125" style="84" bestFit="1" customWidth="1"/>
    <col min="15364" max="15364" width="19.140625" style="84" customWidth="1"/>
    <col min="15365" max="15365" width="14.7109375" style="84" bestFit="1" customWidth="1"/>
    <col min="15366" max="15366" width="18.42578125" style="84" customWidth="1"/>
    <col min="15367" max="15616" width="10.85546875" style="84"/>
    <col min="15617" max="15617" width="6.28515625" style="84" customWidth="1"/>
    <col min="15618" max="15618" width="30.140625" style="84" customWidth="1"/>
    <col min="15619" max="15619" width="15.42578125" style="84" bestFit="1" customWidth="1"/>
    <col min="15620" max="15620" width="19.140625" style="84" customWidth="1"/>
    <col min="15621" max="15621" width="14.7109375" style="84" bestFit="1" customWidth="1"/>
    <col min="15622" max="15622" width="18.42578125" style="84" customWidth="1"/>
    <col min="15623" max="15872" width="10.85546875" style="84"/>
    <col min="15873" max="15873" width="6.28515625" style="84" customWidth="1"/>
    <col min="15874" max="15874" width="30.140625" style="84" customWidth="1"/>
    <col min="15875" max="15875" width="15.42578125" style="84" bestFit="1" customWidth="1"/>
    <col min="15876" max="15876" width="19.140625" style="84" customWidth="1"/>
    <col min="15877" max="15877" width="14.7109375" style="84" bestFit="1" customWidth="1"/>
    <col min="15878" max="15878" width="18.42578125" style="84" customWidth="1"/>
    <col min="15879" max="16128" width="10.85546875" style="84"/>
    <col min="16129" max="16129" width="6.28515625" style="84" customWidth="1"/>
    <col min="16130" max="16130" width="30.140625" style="84" customWidth="1"/>
    <col min="16131" max="16131" width="15.42578125" style="84" bestFit="1" customWidth="1"/>
    <col min="16132" max="16132" width="19.140625" style="84" customWidth="1"/>
    <col min="16133" max="16133" width="14.7109375" style="84" bestFit="1" customWidth="1"/>
    <col min="16134" max="16134" width="18.42578125" style="84" customWidth="1"/>
    <col min="16135" max="16384" width="10.85546875" style="84"/>
  </cols>
  <sheetData>
    <row r="1" spans="2:5" x14ac:dyDescent="0.25">
      <c r="B1" s="83" t="s">
        <v>0</v>
      </c>
    </row>
    <row r="2" spans="2:5" x14ac:dyDescent="0.25">
      <c r="B2" s="83" t="s">
        <v>459</v>
      </c>
    </row>
    <row r="3" spans="2:5" x14ac:dyDescent="0.25">
      <c r="B3" s="83" t="s">
        <v>83</v>
      </c>
    </row>
    <row r="4" spans="2:5" x14ac:dyDescent="0.25">
      <c r="B4" s="83" t="s">
        <v>3</v>
      </c>
    </row>
    <row r="5" spans="2:5" x14ac:dyDescent="0.25">
      <c r="B5" s="83"/>
    </row>
    <row r="6" spans="2:5" x14ac:dyDescent="0.25">
      <c r="B6" s="83" t="s">
        <v>460</v>
      </c>
    </row>
    <row r="7" spans="2:5" x14ac:dyDescent="0.25">
      <c r="B7" s="85"/>
    </row>
    <row r="8" spans="2:5" ht="17.25" x14ac:dyDescent="0.4">
      <c r="B8" s="86" t="s">
        <v>461</v>
      </c>
    </row>
    <row r="10" spans="2:5" x14ac:dyDescent="0.25">
      <c r="B10" s="87" t="s">
        <v>462</v>
      </c>
      <c r="C10" s="88"/>
      <c r="D10" s="88"/>
      <c r="E10" s="88"/>
    </row>
    <row r="11" spans="2:5" x14ac:dyDescent="0.25">
      <c r="B11" s="88"/>
      <c r="C11" s="88"/>
      <c r="D11" s="88"/>
      <c r="E11" s="88"/>
    </row>
    <row r="12" spans="2:5" ht="45" x14ac:dyDescent="0.25">
      <c r="B12" s="89" t="s">
        <v>463</v>
      </c>
      <c r="C12" s="90">
        <v>40993</v>
      </c>
      <c r="D12" s="91" t="s">
        <v>464</v>
      </c>
      <c r="E12" s="88"/>
    </row>
    <row r="13" spans="2:5" x14ac:dyDescent="0.25">
      <c r="B13" s="92" t="s">
        <v>465</v>
      </c>
      <c r="C13" s="93" t="s">
        <v>466</v>
      </c>
      <c r="D13" s="89"/>
      <c r="E13" s="88"/>
    </row>
    <row r="14" spans="2:5" x14ac:dyDescent="0.25">
      <c r="B14" s="92" t="s">
        <v>467</v>
      </c>
      <c r="C14" s="94">
        <v>57000000</v>
      </c>
      <c r="D14" s="89"/>
      <c r="E14" s="88"/>
    </row>
    <row r="15" spans="2:5" x14ac:dyDescent="0.25">
      <c r="B15" s="92" t="s">
        <v>468</v>
      </c>
      <c r="C15" s="95">
        <v>36</v>
      </c>
      <c r="D15" s="89" t="s">
        <v>207</v>
      </c>
      <c r="E15" s="88"/>
    </row>
    <row r="16" spans="2:5" x14ac:dyDescent="0.25">
      <c r="B16" s="92" t="s">
        <v>469</v>
      </c>
      <c r="C16" s="96">
        <v>0.01</v>
      </c>
      <c r="D16" s="89" t="s">
        <v>470</v>
      </c>
      <c r="E16" s="88"/>
    </row>
    <row r="17" spans="2:6" x14ac:dyDescent="0.25">
      <c r="B17" s="92" t="s">
        <v>471</v>
      </c>
      <c r="C17" s="97">
        <v>1.2E-2</v>
      </c>
      <c r="D17" s="89" t="s">
        <v>472</v>
      </c>
      <c r="E17" s="88"/>
    </row>
    <row r="18" spans="2:6" x14ac:dyDescent="0.25">
      <c r="B18" s="92" t="s">
        <v>473</v>
      </c>
      <c r="C18" s="94">
        <v>2000000</v>
      </c>
      <c r="D18" s="89"/>
      <c r="E18" s="88"/>
    </row>
    <row r="19" spans="2:6" ht="78.75" x14ac:dyDescent="0.25">
      <c r="B19" s="89" t="s">
        <v>474</v>
      </c>
      <c r="C19" s="90">
        <v>40999</v>
      </c>
      <c r="D19" s="91" t="s">
        <v>475</v>
      </c>
    </row>
    <row r="20" spans="2:6" x14ac:dyDescent="0.25">
      <c r="B20" s="89" t="s">
        <v>476</v>
      </c>
      <c r="C20" s="95">
        <v>45</v>
      </c>
      <c r="D20" s="89" t="s">
        <v>207</v>
      </c>
    </row>
    <row r="22" spans="2:6" x14ac:dyDescent="0.25">
      <c r="B22" s="87" t="s">
        <v>477</v>
      </c>
    </row>
    <row r="24" spans="2:6" ht="17.25" x14ac:dyDescent="0.4">
      <c r="B24" s="98" t="s">
        <v>478</v>
      </c>
      <c r="C24" s="98" t="s">
        <v>231</v>
      </c>
      <c r="D24" s="98" t="s">
        <v>232</v>
      </c>
      <c r="E24" s="98" t="s">
        <v>479</v>
      </c>
    </row>
    <row r="25" spans="2:6" x14ac:dyDescent="0.25">
      <c r="B25" s="99">
        <v>1</v>
      </c>
      <c r="C25" s="99">
        <f>+C18</f>
        <v>2000000</v>
      </c>
      <c r="D25" s="99">
        <f>+C25/(1+$C$17)^B25</f>
        <v>1976284.5849802371</v>
      </c>
      <c r="E25" s="100">
        <f>+PV($C$17,B25,,-C25)</f>
        <v>1976284.5849802371</v>
      </c>
      <c r="F25" s="101">
        <f>+D25-E25</f>
        <v>0</v>
      </c>
    </row>
    <row r="26" spans="2:6" x14ac:dyDescent="0.25">
      <c r="B26" s="99">
        <f>+B25+1</f>
        <v>2</v>
      </c>
      <c r="C26" s="99">
        <f>+C25</f>
        <v>2000000</v>
      </c>
      <c r="D26" s="99">
        <f t="shared" ref="D26:D60" si="0">+C26/(1+$C$17)^B26</f>
        <v>1952850.3804152543</v>
      </c>
      <c r="E26" s="100">
        <f>+PV($C$17,B26,,-C26)</f>
        <v>1952850.3804152543</v>
      </c>
      <c r="F26" s="101">
        <f t="shared" ref="F26:F61" si="1">+D26-E26</f>
        <v>0</v>
      </c>
    </row>
    <row r="27" spans="2:6" x14ac:dyDescent="0.25">
      <c r="B27" s="99">
        <f t="shared" ref="B27:B59" si="2">+B26+1</f>
        <v>3</v>
      </c>
      <c r="C27" s="99">
        <f t="shared" ref="C27:C59" si="3">+C26</f>
        <v>2000000</v>
      </c>
      <c r="D27" s="99">
        <f t="shared" si="0"/>
        <v>1929694.0517937294</v>
      </c>
      <c r="E27" s="100">
        <f t="shared" ref="E27:E60" si="4">+PV($C$17,B27,,-C27)</f>
        <v>1929694.0517937294</v>
      </c>
      <c r="F27" s="101">
        <f t="shared" si="1"/>
        <v>0</v>
      </c>
    </row>
    <row r="28" spans="2:6" x14ac:dyDescent="0.25">
      <c r="B28" s="99">
        <f t="shared" si="2"/>
        <v>4</v>
      </c>
      <c r="C28" s="99">
        <f t="shared" si="3"/>
        <v>2000000</v>
      </c>
      <c r="D28" s="99">
        <f t="shared" si="0"/>
        <v>1906812.3041440013</v>
      </c>
      <c r="E28" s="100">
        <f t="shared" si="4"/>
        <v>1906812.3041440013</v>
      </c>
      <c r="F28" s="101">
        <f t="shared" si="1"/>
        <v>0</v>
      </c>
    </row>
    <row r="29" spans="2:6" x14ac:dyDescent="0.25">
      <c r="B29" s="99">
        <f t="shared" si="2"/>
        <v>5</v>
      </c>
      <c r="C29" s="99">
        <f t="shared" si="3"/>
        <v>2000000</v>
      </c>
      <c r="D29" s="99">
        <f t="shared" si="0"/>
        <v>1884201.8815652188</v>
      </c>
      <c r="E29" s="100">
        <f t="shared" si="4"/>
        <v>1884201.8815652188</v>
      </c>
      <c r="F29" s="101">
        <f t="shared" si="1"/>
        <v>0</v>
      </c>
    </row>
    <row r="30" spans="2:6" x14ac:dyDescent="0.25">
      <c r="B30" s="99">
        <f t="shared" si="2"/>
        <v>6</v>
      </c>
      <c r="C30" s="99">
        <f t="shared" si="3"/>
        <v>2000000</v>
      </c>
      <c r="D30" s="99">
        <f t="shared" si="0"/>
        <v>1861859.5667640504</v>
      </c>
      <c r="E30" s="100">
        <f t="shared" si="4"/>
        <v>1861859.5667640504</v>
      </c>
      <c r="F30" s="101">
        <f t="shared" si="1"/>
        <v>0</v>
      </c>
    </row>
    <row r="31" spans="2:6" x14ac:dyDescent="0.25">
      <c r="B31" s="99">
        <f t="shared" si="2"/>
        <v>7</v>
      </c>
      <c r="C31" s="99">
        <f t="shared" si="3"/>
        <v>2000000</v>
      </c>
      <c r="D31" s="99">
        <f t="shared" si="0"/>
        <v>1839782.1805968874</v>
      </c>
      <c r="E31" s="100">
        <f t="shared" si="4"/>
        <v>1839782.1805968874</v>
      </c>
      <c r="F31" s="101">
        <f t="shared" si="1"/>
        <v>0</v>
      </c>
    </row>
    <row r="32" spans="2:6" x14ac:dyDescent="0.25">
      <c r="B32" s="99">
        <f t="shared" si="2"/>
        <v>8</v>
      </c>
      <c r="C32" s="99">
        <f t="shared" si="3"/>
        <v>2000000</v>
      </c>
      <c r="D32" s="99">
        <f t="shared" si="0"/>
        <v>1817966.5816174778</v>
      </c>
      <c r="E32" s="100">
        <f t="shared" si="4"/>
        <v>1817966.5816174778</v>
      </c>
      <c r="F32" s="101">
        <f t="shared" si="1"/>
        <v>0</v>
      </c>
    </row>
    <row r="33" spans="2:6" x14ac:dyDescent="0.25">
      <c r="B33" s="99">
        <f t="shared" si="2"/>
        <v>9</v>
      </c>
      <c r="C33" s="99">
        <f t="shared" si="3"/>
        <v>2000000</v>
      </c>
      <c r="D33" s="99">
        <f t="shared" si="0"/>
        <v>1796409.6656299189</v>
      </c>
      <c r="E33" s="100">
        <f t="shared" si="4"/>
        <v>1796409.6656299189</v>
      </c>
      <c r="F33" s="101">
        <f t="shared" si="1"/>
        <v>0</v>
      </c>
    </row>
    <row r="34" spans="2:6" x14ac:dyDescent="0.25">
      <c r="B34" s="99">
        <f t="shared" si="2"/>
        <v>10</v>
      </c>
      <c r="C34" s="99">
        <f t="shared" si="3"/>
        <v>2000000</v>
      </c>
      <c r="D34" s="99">
        <f t="shared" si="0"/>
        <v>1775108.3652469553</v>
      </c>
      <c r="E34" s="100">
        <f t="shared" si="4"/>
        <v>1775108.3652469553</v>
      </c>
      <c r="F34" s="101">
        <f t="shared" si="1"/>
        <v>0</v>
      </c>
    </row>
    <row r="35" spans="2:6" x14ac:dyDescent="0.25">
      <c r="B35" s="99">
        <f t="shared" si="2"/>
        <v>11</v>
      </c>
      <c r="C35" s="99">
        <f t="shared" si="3"/>
        <v>2000000</v>
      </c>
      <c r="D35" s="99">
        <f t="shared" si="0"/>
        <v>1754059.6494535133</v>
      </c>
      <c r="E35" s="100">
        <f t="shared" si="4"/>
        <v>1754059.6494535133</v>
      </c>
      <c r="F35" s="101">
        <f t="shared" si="1"/>
        <v>0</v>
      </c>
    </row>
    <row r="36" spans="2:6" x14ac:dyDescent="0.25">
      <c r="B36" s="99">
        <f t="shared" si="2"/>
        <v>12</v>
      </c>
      <c r="C36" s="99">
        <f t="shared" si="3"/>
        <v>2000000</v>
      </c>
      <c r="D36" s="99">
        <f t="shared" si="0"/>
        <v>1733260.5231754084</v>
      </c>
      <c r="E36" s="100">
        <f t="shared" si="4"/>
        <v>1733260.5231754084</v>
      </c>
      <c r="F36" s="101">
        <f t="shared" si="1"/>
        <v>0</v>
      </c>
    </row>
    <row r="37" spans="2:6" x14ac:dyDescent="0.25">
      <c r="B37" s="99">
        <f t="shared" si="2"/>
        <v>13</v>
      </c>
      <c r="C37" s="99">
        <f t="shared" si="3"/>
        <v>2000000</v>
      </c>
      <c r="D37" s="99">
        <f t="shared" si="0"/>
        <v>1712708.0268531705</v>
      </c>
      <c r="E37" s="100">
        <f t="shared" si="4"/>
        <v>1712708.0268531705</v>
      </c>
      <c r="F37" s="101">
        <f t="shared" si="1"/>
        <v>0</v>
      </c>
    </row>
    <row r="38" spans="2:6" x14ac:dyDescent="0.25">
      <c r="B38" s="99">
        <f t="shared" si="2"/>
        <v>14</v>
      </c>
      <c r="C38" s="99">
        <f t="shared" si="3"/>
        <v>2000000</v>
      </c>
      <c r="D38" s="99">
        <f t="shared" si="0"/>
        <v>1692399.2360209194</v>
      </c>
      <c r="E38" s="100">
        <f t="shared" si="4"/>
        <v>1692399.2360209194</v>
      </c>
      <c r="F38" s="101">
        <f t="shared" si="1"/>
        <v>0</v>
      </c>
    </row>
    <row r="39" spans="2:6" x14ac:dyDescent="0.25">
      <c r="B39" s="99">
        <f t="shared" si="2"/>
        <v>15</v>
      </c>
      <c r="C39" s="99">
        <f t="shared" si="3"/>
        <v>2000000</v>
      </c>
      <c r="D39" s="99">
        <f t="shared" si="0"/>
        <v>1672331.2608902361</v>
      </c>
      <c r="E39" s="100">
        <f t="shared" si="4"/>
        <v>1672331.2608902361</v>
      </c>
      <c r="F39" s="101">
        <f t="shared" si="1"/>
        <v>0</v>
      </c>
    </row>
    <row r="40" spans="2:6" x14ac:dyDescent="0.25">
      <c r="B40" s="99">
        <f t="shared" si="2"/>
        <v>16</v>
      </c>
      <c r="C40" s="99">
        <f t="shared" si="3"/>
        <v>2000000</v>
      </c>
      <c r="D40" s="99">
        <f t="shared" si="0"/>
        <v>1652501.2459389686</v>
      </c>
      <c r="E40" s="100">
        <f t="shared" si="4"/>
        <v>1652501.2459389686</v>
      </c>
      <c r="F40" s="101">
        <f t="shared" si="1"/>
        <v>0</v>
      </c>
    </row>
    <row r="41" spans="2:6" x14ac:dyDescent="0.25">
      <c r="B41" s="99">
        <f t="shared" si="2"/>
        <v>17</v>
      </c>
      <c r="C41" s="99">
        <f t="shared" si="3"/>
        <v>2000000</v>
      </c>
      <c r="D41" s="99">
        <f t="shared" si="0"/>
        <v>1632906.3695049097</v>
      </c>
      <c r="E41" s="100">
        <f t="shared" si="4"/>
        <v>1632906.3695049097</v>
      </c>
      <c r="F41" s="101">
        <f t="shared" si="1"/>
        <v>0</v>
      </c>
    </row>
    <row r="42" spans="2:6" x14ac:dyDescent="0.25">
      <c r="B42" s="99">
        <f t="shared" si="2"/>
        <v>18</v>
      </c>
      <c r="C42" s="99">
        <f t="shared" si="3"/>
        <v>2000000</v>
      </c>
      <c r="D42" s="99">
        <f t="shared" si="0"/>
        <v>1613543.8433842983</v>
      </c>
      <c r="E42" s="100">
        <f t="shared" si="4"/>
        <v>1613543.8433842983</v>
      </c>
      <c r="F42" s="101">
        <f t="shared" si="1"/>
        <v>0</v>
      </c>
    </row>
    <row r="43" spans="2:6" x14ac:dyDescent="0.25">
      <c r="B43" s="99">
        <f t="shared" si="2"/>
        <v>19</v>
      </c>
      <c r="C43" s="99">
        <f t="shared" si="3"/>
        <v>2000000</v>
      </c>
      <c r="D43" s="99">
        <f t="shared" si="0"/>
        <v>1594410.9124350771</v>
      </c>
      <c r="E43" s="100">
        <f t="shared" si="4"/>
        <v>1594410.9124350771</v>
      </c>
      <c r="F43" s="101">
        <f t="shared" si="1"/>
        <v>0</v>
      </c>
    </row>
    <row r="44" spans="2:6" x14ac:dyDescent="0.25">
      <c r="B44" s="99">
        <f t="shared" si="2"/>
        <v>20</v>
      </c>
      <c r="C44" s="99">
        <f t="shared" si="3"/>
        <v>2000000</v>
      </c>
      <c r="D44" s="99">
        <f t="shared" si="0"/>
        <v>1575504.8541848592</v>
      </c>
      <c r="E44" s="100">
        <f t="shared" si="4"/>
        <v>1575504.8541848592</v>
      </c>
      <c r="F44" s="101">
        <f t="shared" si="1"/>
        <v>0</v>
      </c>
    </row>
    <row r="45" spans="2:6" x14ac:dyDescent="0.25">
      <c r="B45" s="99">
        <f t="shared" si="2"/>
        <v>21</v>
      </c>
      <c r="C45" s="99">
        <f t="shared" si="3"/>
        <v>2000000</v>
      </c>
      <c r="D45" s="99">
        <f t="shared" si="0"/>
        <v>1556822.9784435364</v>
      </c>
      <c r="E45" s="100">
        <f t="shared" si="4"/>
        <v>1556822.9784435364</v>
      </c>
      <c r="F45" s="101">
        <f t="shared" si="1"/>
        <v>0</v>
      </c>
    </row>
    <row r="46" spans="2:6" x14ac:dyDescent="0.25">
      <c r="B46" s="99">
        <f t="shared" si="2"/>
        <v>22</v>
      </c>
      <c r="C46" s="99">
        <f t="shared" si="3"/>
        <v>2000000</v>
      </c>
      <c r="D46" s="99">
        <f t="shared" si="0"/>
        <v>1538362.626920491</v>
      </c>
      <c r="E46" s="100">
        <f t="shared" si="4"/>
        <v>1538362.626920491</v>
      </c>
      <c r="F46" s="101">
        <f t="shared" si="1"/>
        <v>0</v>
      </c>
    </row>
    <row r="47" spans="2:6" x14ac:dyDescent="0.25">
      <c r="B47" s="99">
        <f t="shared" si="2"/>
        <v>23</v>
      </c>
      <c r="C47" s="99">
        <f t="shared" si="3"/>
        <v>2000000</v>
      </c>
      <c r="D47" s="99">
        <f t="shared" si="0"/>
        <v>1520121.1728463345</v>
      </c>
      <c r="E47" s="100">
        <f t="shared" si="4"/>
        <v>1520121.1728463345</v>
      </c>
      <c r="F47" s="101">
        <f t="shared" si="1"/>
        <v>0</v>
      </c>
    </row>
    <row r="48" spans="2:6" x14ac:dyDescent="0.25">
      <c r="B48" s="99">
        <f t="shared" si="2"/>
        <v>24</v>
      </c>
      <c r="C48" s="99">
        <f t="shared" si="3"/>
        <v>2000000</v>
      </c>
      <c r="D48" s="99">
        <f t="shared" si="0"/>
        <v>1502096.020599145</v>
      </c>
      <c r="E48" s="100">
        <f t="shared" si="4"/>
        <v>1502096.020599145</v>
      </c>
      <c r="F48" s="101">
        <f t="shared" si="1"/>
        <v>0</v>
      </c>
    </row>
    <row r="49" spans="2:6" x14ac:dyDescent="0.25">
      <c r="B49" s="99">
        <f t="shared" si="2"/>
        <v>25</v>
      </c>
      <c r="C49" s="99">
        <f t="shared" si="3"/>
        <v>2000000</v>
      </c>
      <c r="D49" s="99">
        <f t="shared" si="0"/>
        <v>1484284.6053351236</v>
      </c>
      <c r="E49" s="100">
        <f t="shared" si="4"/>
        <v>1484284.6053351236</v>
      </c>
      <c r="F49" s="101">
        <f t="shared" si="1"/>
        <v>0</v>
      </c>
    </row>
    <row r="50" spans="2:6" x14ac:dyDescent="0.25">
      <c r="B50" s="99">
        <f t="shared" si="2"/>
        <v>26</v>
      </c>
      <c r="C50" s="99">
        <f t="shared" si="3"/>
        <v>2000000</v>
      </c>
      <c r="D50" s="99">
        <f t="shared" si="0"/>
        <v>1466684.3926236399</v>
      </c>
      <c r="E50" s="100">
        <f t="shared" si="4"/>
        <v>1466684.3926236399</v>
      </c>
      <c r="F50" s="101">
        <f t="shared" si="1"/>
        <v>0</v>
      </c>
    </row>
    <row r="51" spans="2:6" x14ac:dyDescent="0.25">
      <c r="B51" s="99">
        <f t="shared" si="2"/>
        <v>27</v>
      </c>
      <c r="C51" s="99">
        <f t="shared" si="3"/>
        <v>2000000</v>
      </c>
      <c r="D51" s="99">
        <f t="shared" si="0"/>
        <v>1449292.8780866005</v>
      </c>
      <c r="E51" s="100">
        <f t="shared" si="4"/>
        <v>1449292.8780866005</v>
      </c>
      <c r="F51" s="101">
        <f t="shared" si="1"/>
        <v>0</v>
      </c>
    </row>
    <row r="52" spans="2:6" x14ac:dyDescent="0.25">
      <c r="B52" s="99">
        <f t="shared" si="2"/>
        <v>28</v>
      </c>
      <c r="C52" s="99">
        <f t="shared" si="3"/>
        <v>2000000</v>
      </c>
      <c r="D52" s="99">
        <f t="shared" si="0"/>
        <v>1432107.5870420956</v>
      </c>
      <c r="E52" s="100">
        <f t="shared" si="4"/>
        <v>1432107.5870420956</v>
      </c>
      <c r="F52" s="101">
        <f t="shared" si="1"/>
        <v>0</v>
      </c>
    </row>
    <row r="53" spans="2:6" x14ac:dyDescent="0.25">
      <c r="B53" s="99">
        <f t="shared" si="2"/>
        <v>29</v>
      </c>
      <c r="C53" s="99">
        <f t="shared" si="3"/>
        <v>2000000</v>
      </c>
      <c r="D53" s="99">
        <f t="shared" si="0"/>
        <v>1415126.0741522685</v>
      </c>
      <c r="E53" s="100">
        <f t="shared" si="4"/>
        <v>1415126.0741522685</v>
      </c>
      <c r="F53" s="101">
        <f t="shared" si="1"/>
        <v>0</v>
      </c>
    </row>
    <row r="54" spans="2:6" x14ac:dyDescent="0.25">
      <c r="B54" s="99">
        <f t="shared" si="2"/>
        <v>30</v>
      </c>
      <c r="C54" s="99">
        <f t="shared" si="3"/>
        <v>2000000</v>
      </c>
      <c r="D54" s="99">
        <f t="shared" si="0"/>
        <v>1398345.923075364</v>
      </c>
      <c r="E54" s="100">
        <f t="shared" si="4"/>
        <v>1398345.923075364</v>
      </c>
      <c r="F54" s="101">
        <f t="shared" si="1"/>
        <v>0</v>
      </c>
    </row>
    <row r="55" spans="2:6" x14ac:dyDescent="0.25">
      <c r="B55" s="99">
        <f t="shared" si="2"/>
        <v>31</v>
      </c>
      <c r="C55" s="99">
        <f t="shared" si="3"/>
        <v>2000000</v>
      </c>
      <c r="D55" s="99">
        <f t="shared" si="0"/>
        <v>1381764.7461219009</v>
      </c>
      <c r="E55" s="100">
        <f t="shared" si="4"/>
        <v>1381764.7461219009</v>
      </c>
      <c r="F55" s="101">
        <f t="shared" si="1"/>
        <v>0</v>
      </c>
    </row>
    <row r="56" spans="2:6" x14ac:dyDescent="0.25">
      <c r="B56" s="99">
        <f t="shared" si="2"/>
        <v>32</v>
      </c>
      <c r="C56" s="99">
        <f t="shared" si="3"/>
        <v>2000000</v>
      </c>
      <c r="D56" s="99">
        <f t="shared" si="0"/>
        <v>1365380.1839149219</v>
      </c>
      <c r="E56" s="100">
        <f t="shared" si="4"/>
        <v>1365380.1839149219</v>
      </c>
      <c r="F56" s="101">
        <f t="shared" si="1"/>
        <v>0</v>
      </c>
    </row>
    <row r="57" spans="2:6" x14ac:dyDescent="0.25">
      <c r="B57" s="99">
        <f t="shared" si="2"/>
        <v>33</v>
      </c>
      <c r="C57" s="99">
        <f t="shared" si="3"/>
        <v>2000000</v>
      </c>
      <c r="D57" s="99">
        <f t="shared" si="0"/>
        <v>1349189.9050542708</v>
      </c>
      <c r="E57" s="100">
        <f t="shared" si="4"/>
        <v>1349189.9050542708</v>
      </c>
      <c r="F57" s="101">
        <f t="shared" si="1"/>
        <v>0</v>
      </c>
    </row>
    <row r="58" spans="2:6" x14ac:dyDescent="0.25">
      <c r="B58" s="99">
        <f t="shared" si="2"/>
        <v>34</v>
      </c>
      <c r="C58" s="99">
        <f t="shared" si="3"/>
        <v>2000000</v>
      </c>
      <c r="D58" s="99">
        <f t="shared" si="0"/>
        <v>1333191.6057848528</v>
      </c>
      <c r="E58" s="100">
        <f t="shared" si="4"/>
        <v>1333191.6057848528</v>
      </c>
      <c r="F58" s="101">
        <f t="shared" si="1"/>
        <v>0</v>
      </c>
    </row>
    <row r="59" spans="2:6" x14ac:dyDescent="0.25">
      <c r="B59" s="99">
        <f t="shared" si="2"/>
        <v>35</v>
      </c>
      <c r="C59" s="99">
        <f t="shared" si="3"/>
        <v>2000000</v>
      </c>
      <c r="D59" s="99">
        <f t="shared" si="0"/>
        <v>1317383.0096688266</v>
      </c>
      <c r="E59" s="100">
        <f t="shared" si="4"/>
        <v>1317383.0096688266</v>
      </c>
      <c r="F59" s="101">
        <f t="shared" si="1"/>
        <v>0</v>
      </c>
    </row>
    <row r="60" spans="2:6" x14ac:dyDescent="0.25">
      <c r="B60" s="99">
        <v>36</v>
      </c>
      <c r="C60" s="99">
        <f>+C59+(C14*C16)</f>
        <v>2570000</v>
      </c>
      <c r="D60" s="102">
        <f t="shared" si="0"/>
        <v>1672763.9994312671</v>
      </c>
      <c r="E60" s="103">
        <f t="shared" si="4"/>
        <v>1672763.9994312671</v>
      </c>
      <c r="F60" s="101">
        <f t="shared" si="1"/>
        <v>0</v>
      </c>
    </row>
    <row r="61" spans="2:6" x14ac:dyDescent="0.25">
      <c r="B61" s="99"/>
      <c r="C61" s="99" t="s">
        <v>480</v>
      </c>
      <c r="D61" s="104">
        <f>+SUM(D25:D60)</f>
        <v>58557513.193695731</v>
      </c>
      <c r="E61" s="104">
        <f>+SUM(E25:E60)</f>
        <v>58557513.193695731</v>
      </c>
      <c r="F61" s="101">
        <f t="shared" si="1"/>
        <v>0</v>
      </c>
    </row>
    <row r="63" spans="2:6" x14ac:dyDescent="0.25">
      <c r="B63" s="87" t="s">
        <v>481</v>
      </c>
    </row>
    <row r="65" spans="2:8" x14ac:dyDescent="0.25">
      <c r="B65" s="84" t="s">
        <v>482</v>
      </c>
      <c r="D65" s="84" t="s">
        <v>278</v>
      </c>
      <c r="E65" s="105">
        <f>+C14*C16</f>
        <v>570000</v>
      </c>
    </row>
    <row r="66" spans="2:8" x14ac:dyDescent="0.25">
      <c r="B66" s="84" t="s">
        <v>483</v>
      </c>
      <c r="D66" s="84" t="s">
        <v>278</v>
      </c>
      <c r="E66" s="106">
        <f>+C15/C20</f>
        <v>0.8</v>
      </c>
      <c r="F66" s="84" t="s">
        <v>484</v>
      </c>
    </row>
    <row r="67" spans="2:8" x14ac:dyDescent="0.25">
      <c r="B67" s="84" t="s">
        <v>485</v>
      </c>
      <c r="D67" s="84" t="s">
        <v>278</v>
      </c>
      <c r="E67" s="106">
        <f>+C14/D61</f>
        <v>0.97340199218256063</v>
      </c>
      <c r="F67" s="84" t="s">
        <v>486</v>
      </c>
    </row>
    <row r="69" spans="2:8" x14ac:dyDescent="0.25">
      <c r="B69" s="107" t="s">
        <v>487</v>
      </c>
    </row>
    <row r="70" spans="2:8" x14ac:dyDescent="0.25">
      <c r="B70" s="108" t="s">
        <v>488</v>
      </c>
    </row>
    <row r="71" spans="2:8" x14ac:dyDescent="0.25">
      <c r="B71" s="108"/>
    </row>
    <row r="72" spans="2:8" x14ac:dyDescent="0.25">
      <c r="B72" s="67" t="s">
        <v>489</v>
      </c>
      <c r="C72" s="100"/>
      <c r="D72" s="100"/>
      <c r="E72" s="100"/>
    </row>
    <row r="73" spans="2:8" x14ac:dyDescent="0.25">
      <c r="B73" s="100"/>
      <c r="C73" s="100"/>
      <c r="D73" s="100"/>
      <c r="E73" s="100"/>
    </row>
    <row r="74" spans="2:8" x14ac:dyDescent="0.25">
      <c r="B74" s="108" t="s">
        <v>490</v>
      </c>
      <c r="C74" s="108"/>
      <c r="D74" s="99">
        <f>+D61</f>
        <v>58557513.193695731</v>
      </c>
      <c r="E74" s="109">
        <f>+D74/D75</f>
        <v>1.027324792871855</v>
      </c>
      <c r="F74" t="s">
        <v>249</v>
      </c>
      <c r="G74" s="120">
        <f>+D75</f>
        <v>57000000</v>
      </c>
    </row>
    <row r="75" spans="2:8" x14ac:dyDescent="0.25">
      <c r="B75" s="108" t="s">
        <v>491</v>
      </c>
      <c r="C75" s="108"/>
      <c r="D75" s="99">
        <f>+C14</f>
        <v>57000000</v>
      </c>
      <c r="E75" s="109">
        <f>+D75/D74</f>
        <v>0.97340199218256063</v>
      </c>
      <c r="F75" t="s">
        <v>514</v>
      </c>
      <c r="H75" s="120">
        <f>+G74</f>
        <v>57000000</v>
      </c>
    </row>
    <row r="76" spans="2:8" x14ac:dyDescent="0.25">
      <c r="B76" s="108" t="s">
        <v>492</v>
      </c>
      <c r="C76" s="108"/>
      <c r="D76" s="99">
        <f>+MIN(D74:D75)</f>
        <v>57000000</v>
      </c>
      <c r="E76" s="108"/>
    </row>
    <row r="77" spans="2:8" x14ac:dyDescent="0.25">
      <c r="B77" s="108"/>
      <c r="C77" s="108"/>
      <c r="D77" s="108"/>
      <c r="E77" s="108"/>
    </row>
    <row r="78" spans="2:8" x14ac:dyDescent="0.25">
      <c r="B78" s="107" t="s">
        <v>493</v>
      </c>
    </row>
    <row r="80" spans="2:8" x14ac:dyDescent="0.25">
      <c r="B80" s="110">
        <v>41639</v>
      </c>
    </row>
    <row r="81" spans="2:5" x14ac:dyDescent="0.25">
      <c r="B81" s="111">
        <f>+C14</f>
        <v>57000000</v>
      </c>
    </row>
    <row r="82" spans="2:5" x14ac:dyDescent="0.25">
      <c r="B82" s="112">
        <f>+C20</f>
        <v>45</v>
      </c>
      <c r="C82" s="84" t="s">
        <v>494</v>
      </c>
      <c r="E82" s="108" t="s">
        <v>495</v>
      </c>
    </row>
    <row r="83" spans="2:5" x14ac:dyDescent="0.25">
      <c r="B83" s="113">
        <f>+B81/B82</f>
        <v>1266666.6666666667</v>
      </c>
      <c r="C83" s="84" t="s">
        <v>496</v>
      </c>
    </row>
    <row r="84" spans="2:5" x14ac:dyDescent="0.25">
      <c r="B84" s="114">
        <f>+TRUNC((B80-C19)/30)</f>
        <v>21</v>
      </c>
      <c r="C84" s="108" t="s">
        <v>497</v>
      </c>
    </row>
    <row r="85" spans="2:5" x14ac:dyDescent="0.25">
      <c r="B85" s="105">
        <f>+B83*B84</f>
        <v>26600000</v>
      </c>
    </row>
    <row r="87" spans="2:5" x14ac:dyDescent="0.25">
      <c r="B87" s="107" t="s">
        <v>498</v>
      </c>
    </row>
    <row r="89" spans="2:5" x14ac:dyDescent="0.25">
      <c r="B89" s="108" t="s">
        <v>499</v>
      </c>
    </row>
    <row r="91" spans="2:5" ht="17.25" x14ac:dyDescent="0.4">
      <c r="B91" s="98" t="s">
        <v>500</v>
      </c>
      <c r="C91" s="98" t="s">
        <v>501</v>
      </c>
    </row>
    <row r="92" spans="2:5" x14ac:dyDescent="0.25">
      <c r="B92" s="99">
        <v>0</v>
      </c>
      <c r="C92" s="99">
        <f>+C14</f>
        <v>57000000</v>
      </c>
    </row>
    <row r="93" spans="2:5" x14ac:dyDescent="0.25">
      <c r="B93" s="99">
        <v>1</v>
      </c>
      <c r="C93" s="99">
        <f>-C25</f>
        <v>-2000000</v>
      </c>
    </row>
    <row r="94" spans="2:5" x14ac:dyDescent="0.25">
      <c r="B94" s="99">
        <f>+B93+1</f>
        <v>2</v>
      </c>
      <c r="C94" s="99">
        <f t="shared" ref="C94:C128" si="5">-C26</f>
        <v>-2000000</v>
      </c>
    </row>
    <row r="95" spans="2:5" x14ac:dyDescent="0.25">
      <c r="B95" s="99">
        <f t="shared" ref="B95:B128" si="6">+B94+1</f>
        <v>3</v>
      </c>
      <c r="C95" s="99">
        <f t="shared" si="5"/>
        <v>-2000000</v>
      </c>
    </row>
    <row r="96" spans="2:5" x14ac:dyDescent="0.25">
      <c r="B96" s="99">
        <f t="shared" si="6"/>
        <v>4</v>
      </c>
      <c r="C96" s="99">
        <f t="shared" si="5"/>
        <v>-2000000</v>
      </c>
    </row>
    <row r="97" spans="2:3" x14ac:dyDescent="0.25">
      <c r="B97" s="99">
        <f t="shared" si="6"/>
        <v>5</v>
      </c>
      <c r="C97" s="99">
        <f t="shared" si="5"/>
        <v>-2000000</v>
      </c>
    </row>
    <row r="98" spans="2:3" x14ac:dyDescent="0.25">
      <c r="B98" s="99">
        <f t="shared" si="6"/>
        <v>6</v>
      </c>
      <c r="C98" s="99">
        <f t="shared" si="5"/>
        <v>-2000000</v>
      </c>
    </row>
    <row r="99" spans="2:3" x14ac:dyDescent="0.25">
      <c r="B99" s="99">
        <f t="shared" si="6"/>
        <v>7</v>
      </c>
      <c r="C99" s="99">
        <f t="shared" si="5"/>
        <v>-2000000</v>
      </c>
    </row>
    <row r="100" spans="2:3" x14ac:dyDescent="0.25">
      <c r="B100" s="99">
        <f t="shared" si="6"/>
        <v>8</v>
      </c>
      <c r="C100" s="99">
        <f t="shared" si="5"/>
        <v>-2000000</v>
      </c>
    </row>
    <row r="101" spans="2:3" x14ac:dyDescent="0.25">
      <c r="B101" s="99">
        <f t="shared" si="6"/>
        <v>9</v>
      </c>
      <c r="C101" s="99">
        <f t="shared" si="5"/>
        <v>-2000000</v>
      </c>
    </row>
    <row r="102" spans="2:3" x14ac:dyDescent="0.25">
      <c r="B102" s="99">
        <f t="shared" si="6"/>
        <v>10</v>
      </c>
      <c r="C102" s="99">
        <f t="shared" si="5"/>
        <v>-2000000</v>
      </c>
    </row>
    <row r="103" spans="2:3" x14ac:dyDescent="0.25">
      <c r="B103" s="99">
        <f t="shared" si="6"/>
        <v>11</v>
      </c>
      <c r="C103" s="99">
        <f t="shared" si="5"/>
        <v>-2000000</v>
      </c>
    </row>
    <row r="104" spans="2:3" x14ac:dyDescent="0.25">
      <c r="B104" s="99">
        <f t="shared" si="6"/>
        <v>12</v>
      </c>
      <c r="C104" s="99">
        <f t="shared" si="5"/>
        <v>-2000000</v>
      </c>
    </row>
    <row r="105" spans="2:3" x14ac:dyDescent="0.25">
      <c r="B105" s="99">
        <f t="shared" si="6"/>
        <v>13</v>
      </c>
      <c r="C105" s="99">
        <f t="shared" si="5"/>
        <v>-2000000</v>
      </c>
    </row>
    <row r="106" spans="2:3" x14ac:dyDescent="0.25">
      <c r="B106" s="99">
        <f t="shared" si="6"/>
        <v>14</v>
      </c>
      <c r="C106" s="99">
        <f t="shared" si="5"/>
        <v>-2000000</v>
      </c>
    </row>
    <row r="107" spans="2:3" x14ac:dyDescent="0.25">
      <c r="B107" s="99">
        <f t="shared" si="6"/>
        <v>15</v>
      </c>
      <c r="C107" s="99">
        <f t="shared" si="5"/>
        <v>-2000000</v>
      </c>
    </row>
    <row r="108" spans="2:3" x14ac:dyDescent="0.25">
      <c r="B108" s="99">
        <f t="shared" si="6"/>
        <v>16</v>
      </c>
      <c r="C108" s="99">
        <f t="shared" si="5"/>
        <v>-2000000</v>
      </c>
    </row>
    <row r="109" spans="2:3" x14ac:dyDescent="0.25">
      <c r="B109" s="99">
        <f t="shared" si="6"/>
        <v>17</v>
      </c>
      <c r="C109" s="99">
        <f t="shared" si="5"/>
        <v>-2000000</v>
      </c>
    </row>
    <row r="110" spans="2:3" x14ac:dyDescent="0.25">
      <c r="B110" s="99">
        <f t="shared" si="6"/>
        <v>18</v>
      </c>
      <c r="C110" s="99">
        <f t="shared" si="5"/>
        <v>-2000000</v>
      </c>
    </row>
    <row r="111" spans="2:3" x14ac:dyDescent="0.25">
      <c r="B111" s="99">
        <f t="shared" si="6"/>
        <v>19</v>
      </c>
      <c r="C111" s="99">
        <f t="shared" si="5"/>
        <v>-2000000</v>
      </c>
    </row>
    <row r="112" spans="2:3" x14ac:dyDescent="0.25">
      <c r="B112" s="99">
        <f t="shared" si="6"/>
        <v>20</v>
      </c>
      <c r="C112" s="99">
        <f t="shared" si="5"/>
        <v>-2000000</v>
      </c>
    </row>
    <row r="113" spans="2:3" x14ac:dyDescent="0.25">
      <c r="B113" s="99">
        <f t="shared" si="6"/>
        <v>21</v>
      </c>
      <c r="C113" s="99">
        <f t="shared" si="5"/>
        <v>-2000000</v>
      </c>
    </row>
    <row r="114" spans="2:3" x14ac:dyDescent="0.25">
      <c r="B114" s="99">
        <f t="shared" si="6"/>
        <v>22</v>
      </c>
      <c r="C114" s="99">
        <f t="shared" si="5"/>
        <v>-2000000</v>
      </c>
    </row>
    <row r="115" spans="2:3" x14ac:dyDescent="0.25">
      <c r="B115" s="99">
        <f t="shared" si="6"/>
        <v>23</v>
      </c>
      <c r="C115" s="99">
        <f t="shared" si="5"/>
        <v>-2000000</v>
      </c>
    </row>
    <row r="116" spans="2:3" x14ac:dyDescent="0.25">
      <c r="B116" s="99">
        <f t="shared" si="6"/>
        <v>24</v>
      </c>
      <c r="C116" s="99">
        <f t="shared" si="5"/>
        <v>-2000000</v>
      </c>
    </row>
    <row r="117" spans="2:3" x14ac:dyDescent="0.25">
      <c r="B117" s="99">
        <f t="shared" si="6"/>
        <v>25</v>
      </c>
      <c r="C117" s="99">
        <f t="shared" si="5"/>
        <v>-2000000</v>
      </c>
    </row>
    <row r="118" spans="2:3" x14ac:dyDescent="0.25">
      <c r="B118" s="99">
        <f t="shared" si="6"/>
        <v>26</v>
      </c>
      <c r="C118" s="99">
        <f t="shared" si="5"/>
        <v>-2000000</v>
      </c>
    </row>
    <row r="119" spans="2:3" x14ac:dyDescent="0.25">
      <c r="B119" s="99">
        <f t="shared" si="6"/>
        <v>27</v>
      </c>
      <c r="C119" s="99">
        <f t="shared" si="5"/>
        <v>-2000000</v>
      </c>
    </row>
    <row r="120" spans="2:3" x14ac:dyDescent="0.25">
      <c r="B120" s="99">
        <f t="shared" si="6"/>
        <v>28</v>
      </c>
      <c r="C120" s="99">
        <f t="shared" si="5"/>
        <v>-2000000</v>
      </c>
    </row>
    <row r="121" spans="2:3" x14ac:dyDescent="0.25">
      <c r="B121" s="99">
        <f t="shared" si="6"/>
        <v>29</v>
      </c>
      <c r="C121" s="99">
        <f t="shared" si="5"/>
        <v>-2000000</v>
      </c>
    </row>
    <row r="122" spans="2:3" x14ac:dyDescent="0.25">
      <c r="B122" s="99">
        <f t="shared" si="6"/>
        <v>30</v>
      </c>
      <c r="C122" s="99">
        <f t="shared" si="5"/>
        <v>-2000000</v>
      </c>
    </row>
    <row r="123" spans="2:3" x14ac:dyDescent="0.25">
      <c r="B123" s="99">
        <f t="shared" si="6"/>
        <v>31</v>
      </c>
      <c r="C123" s="99">
        <f t="shared" si="5"/>
        <v>-2000000</v>
      </c>
    </row>
    <row r="124" spans="2:3" x14ac:dyDescent="0.25">
      <c r="B124" s="99">
        <f t="shared" si="6"/>
        <v>32</v>
      </c>
      <c r="C124" s="99">
        <f t="shared" si="5"/>
        <v>-2000000</v>
      </c>
    </row>
    <row r="125" spans="2:3" x14ac:dyDescent="0.25">
      <c r="B125" s="99">
        <f t="shared" si="6"/>
        <v>33</v>
      </c>
      <c r="C125" s="99">
        <f t="shared" si="5"/>
        <v>-2000000</v>
      </c>
    </row>
    <row r="126" spans="2:3" x14ac:dyDescent="0.25">
      <c r="B126" s="99">
        <f t="shared" si="6"/>
        <v>34</v>
      </c>
      <c r="C126" s="99">
        <f t="shared" si="5"/>
        <v>-2000000</v>
      </c>
    </row>
    <row r="127" spans="2:3" x14ac:dyDescent="0.25">
      <c r="B127" s="99">
        <f t="shared" si="6"/>
        <v>35</v>
      </c>
      <c r="C127" s="99">
        <f t="shared" si="5"/>
        <v>-2000000</v>
      </c>
    </row>
    <row r="128" spans="2:3" x14ac:dyDescent="0.25">
      <c r="B128" s="99">
        <f t="shared" si="6"/>
        <v>36</v>
      </c>
      <c r="C128" s="99">
        <f t="shared" si="5"/>
        <v>-2570000</v>
      </c>
    </row>
    <row r="130" spans="2:6" x14ac:dyDescent="0.25">
      <c r="B130" s="104" t="s">
        <v>502</v>
      </c>
      <c r="C130" s="99"/>
      <c r="D130" s="115">
        <f>IRR(C91:C128)</f>
        <v>1.3582691163505745E-2</v>
      </c>
      <c r="E130" s="99" t="s">
        <v>472</v>
      </c>
    </row>
    <row r="132" spans="2:6" x14ac:dyDescent="0.25">
      <c r="B132" s="107" t="s">
        <v>503</v>
      </c>
    </row>
    <row r="134" spans="2:6" ht="17.25" x14ac:dyDescent="0.4">
      <c r="B134" s="98" t="s">
        <v>504</v>
      </c>
      <c r="C134" s="98" t="s">
        <v>505</v>
      </c>
      <c r="D134" s="98" t="s">
        <v>506</v>
      </c>
      <c r="E134" s="98" t="s">
        <v>283</v>
      </c>
      <c r="F134" s="98" t="s">
        <v>507</v>
      </c>
    </row>
    <row r="135" spans="2:6" x14ac:dyDescent="0.25">
      <c r="B135" s="99">
        <v>1</v>
      </c>
      <c r="C135" s="99">
        <f>+C92</f>
        <v>57000000</v>
      </c>
      <c r="D135" s="99">
        <f>+C135*$D$130</f>
        <v>774213.39631982741</v>
      </c>
      <c r="E135" s="99">
        <f>+C93</f>
        <v>-2000000</v>
      </c>
      <c r="F135" s="99">
        <f>+C135+D135+E135</f>
        <v>55774213.396319829</v>
      </c>
    </row>
    <row r="136" spans="2:6" x14ac:dyDescent="0.25">
      <c r="B136" s="99">
        <f>+B135+1</f>
        <v>2</v>
      </c>
      <c r="C136" s="99">
        <f>+F135</f>
        <v>55774213.396319829</v>
      </c>
      <c r="D136" s="99">
        <f t="shared" ref="D136:D170" si="7">+C136*$D$130</f>
        <v>757563.91544967704</v>
      </c>
      <c r="E136" s="99">
        <f t="shared" ref="E136:E169" si="8">C93</f>
        <v>-2000000</v>
      </c>
      <c r="F136" s="99">
        <f>+C136+D136+E136</f>
        <v>54531777.311769508</v>
      </c>
    </row>
    <row r="137" spans="2:6" x14ac:dyDescent="0.25">
      <c r="B137" s="99">
        <f t="shared" ref="B137:B170" si="9">+B136+1</f>
        <v>3</v>
      </c>
      <c r="C137" s="99">
        <f t="shared" ref="C137:C169" si="10">+F136</f>
        <v>54531777.311769508</v>
      </c>
      <c r="D137" s="99">
        <f t="shared" si="7"/>
        <v>740688.28982283478</v>
      </c>
      <c r="E137" s="99">
        <f t="shared" si="8"/>
        <v>-2000000</v>
      </c>
      <c r="F137" s="99">
        <f t="shared" ref="F137:F170" si="11">+C137+D137+E137</f>
        <v>53272465.60159234</v>
      </c>
    </row>
    <row r="138" spans="2:6" x14ac:dyDescent="0.25">
      <c r="B138" s="99">
        <f t="shared" si="9"/>
        <v>4</v>
      </c>
      <c r="C138" s="99">
        <f t="shared" si="10"/>
        <v>53272465.60159234</v>
      </c>
      <c r="D138" s="99">
        <f t="shared" si="7"/>
        <v>723583.44778491196</v>
      </c>
      <c r="E138" s="99">
        <f t="shared" si="8"/>
        <v>-2000000</v>
      </c>
      <c r="F138" s="99">
        <f t="shared" si="11"/>
        <v>51996049.049377255</v>
      </c>
    </row>
    <row r="139" spans="2:6" x14ac:dyDescent="0.25">
      <c r="B139" s="99">
        <f t="shared" si="9"/>
        <v>5</v>
      </c>
      <c r="C139" s="99">
        <f t="shared" si="10"/>
        <v>51996049.049377255</v>
      </c>
      <c r="D139" s="99">
        <f t="shared" si="7"/>
        <v>706246.27596018766</v>
      </c>
      <c r="E139" s="99">
        <f t="shared" si="8"/>
        <v>-2000000</v>
      </c>
      <c r="F139" s="99">
        <f t="shared" si="11"/>
        <v>50702295.32533744</v>
      </c>
    </row>
    <row r="140" spans="2:6" x14ac:dyDescent="0.25">
      <c r="B140" s="99">
        <f t="shared" si="9"/>
        <v>6</v>
      </c>
      <c r="C140" s="99">
        <f t="shared" si="10"/>
        <v>50702295.32533744</v>
      </c>
      <c r="D140" s="99">
        <f t="shared" si="7"/>
        <v>688673.61868491943</v>
      </c>
      <c r="E140" s="99">
        <f t="shared" si="8"/>
        <v>-2000000</v>
      </c>
      <c r="F140" s="99">
        <f t="shared" si="11"/>
        <v>49390968.944022357</v>
      </c>
    </row>
    <row r="141" spans="2:6" x14ac:dyDescent="0.25">
      <c r="B141" s="99">
        <f t="shared" si="9"/>
        <v>7</v>
      </c>
      <c r="C141" s="99">
        <f t="shared" si="10"/>
        <v>49390968.944022357</v>
      </c>
      <c r="D141" s="99">
        <f t="shared" si="7"/>
        <v>670862.27743295918</v>
      </c>
      <c r="E141" s="99">
        <f t="shared" si="8"/>
        <v>-2000000</v>
      </c>
      <c r="F141" s="99">
        <f t="shared" si="11"/>
        <v>48061831.221455313</v>
      </c>
    </row>
    <row r="142" spans="2:6" x14ac:dyDescent="0.25">
      <c r="B142" s="99">
        <f t="shared" si="9"/>
        <v>8</v>
      </c>
      <c r="C142" s="99">
        <f t="shared" si="10"/>
        <v>48061831.221455313</v>
      </c>
      <c r="D142" s="99">
        <f t="shared" si="7"/>
        <v>652809.01023356558</v>
      </c>
      <c r="E142" s="99">
        <f t="shared" si="8"/>
        <v>-2000000</v>
      </c>
      <c r="F142" s="99">
        <f t="shared" si="11"/>
        <v>46714640.231688879</v>
      </c>
    </row>
    <row r="143" spans="2:6" x14ac:dyDescent="0.25">
      <c r="B143" s="99">
        <f t="shared" si="9"/>
        <v>9</v>
      </c>
      <c r="C143" s="99">
        <f t="shared" si="10"/>
        <v>46714640.231688879</v>
      </c>
      <c r="D143" s="99">
        <f t="shared" si="7"/>
        <v>634510.53108131047</v>
      </c>
      <c r="E143" s="99">
        <f t="shared" si="8"/>
        <v>-2000000</v>
      </c>
      <c r="F143" s="99">
        <f t="shared" si="11"/>
        <v>45349150.762770191</v>
      </c>
    </row>
    <row r="144" spans="2:6" x14ac:dyDescent="0.25">
      <c r="B144" s="99">
        <f t="shared" si="9"/>
        <v>10</v>
      </c>
      <c r="C144" s="99">
        <f t="shared" si="10"/>
        <v>45349150.762770191</v>
      </c>
      <c r="D144" s="99">
        <f t="shared" si="7"/>
        <v>615963.50933796843</v>
      </c>
      <c r="E144" s="99">
        <f t="shared" si="8"/>
        <v>-2000000</v>
      </c>
      <c r="F144" s="99">
        <f t="shared" si="11"/>
        <v>43965114.27210816</v>
      </c>
    </row>
    <row r="145" spans="2:6" x14ac:dyDescent="0.25">
      <c r="B145" s="99">
        <f t="shared" si="9"/>
        <v>11</v>
      </c>
      <c r="C145" s="99">
        <f t="shared" si="10"/>
        <v>43965114.27210816</v>
      </c>
      <c r="D145" s="99">
        <f t="shared" si="7"/>
        <v>597164.56912628375</v>
      </c>
      <c r="E145" s="99">
        <f t="shared" si="8"/>
        <v>-2000000</v>
      </c>
      <c r="F145" s="99">
        <f t="shared" si="11"/>
        <v>42562278.841234446</v>
      </c>
    </row>
    <row r="146" spans="2:6" x14ac:dyDescent="0.25">
      <c r="B146" s="99">
        <f t="shared" si="9"/>
        <v>12</v>
      </c>
      <c r="C146" s="99">
        <f t="shared" si="10"/>
        <v>42562278.841234446</v>
      </c>
      <c r="D146" s="99">
        <f t="shared" si="7"/>
        <v>578110.2887155026</v>
      </c>
      <c r="E146" s="99">
        <f t="shared" si="8"/>
        <v>-2000000</v>
      </c>
      <c r="F146" s="99">
        <f t="shared" si="11"/>
        <v>41140389.12994995</v>
      </c>
    </row>
    <row r="147" spans="2:6" x14ac:dyDescent="0.25">
      <c r="B147" s="99">
        <f t="shared" si="9"/>
        <v>13</v>
      </c>
      <c r="C147" s="99">
        <f t="shared" si="10"/>
        <v>41140389.12994995</v>
      </c>
      <c r="D147" s="99">
        <f t="shared" si="7"/>
        <v>558797.19989855902</v>
      </c>
      <c r="E147" s="99">
        <f t="shared" si="8"/>
        <v>-2000000</v>
      </c>
      <c r="F147" s="99">
        <f t="shared" si="11"/>
        <v>39699186.329848506</v>
      </c>
    </row>
    <row r="148" spans="2:6" x14ac:dyDescent="0.25">
      <c r="B148" s="99">
        <f t="shared" si="9"/>
        <v>14</v>
      </c>
      <c r="C148" s="99">
        <f t="shared" si="10"/>
        <v>39699186.329848506</v>
      </c>
      <c r="D148" s="99">
        <f t="shared" si="7"/>
        <v>539221.78736080136</v>
      </c>
      <c r="E148" s="99">
        <f t="shared" si="8"/>
        <v>-2000000</v>
      </c>
      <c r="F148" s="99">
        <f t="shared" si="11"/>
        <v>38238408.117209308</v>
      </c>
    </row>
    <row r="149" spans="2:6" x14ac:dyDescent="0.25">
      <c r="B149" s="99">
        <f t="shared" si="9"/>
        <v>15</v>
      </c>
      <c r="C149" s="99">
        <f t="shared" si="10"/>
        <v>38238408.117209308</v>
      </c>
      <c r="D149" s="99">
        <f t="shared" si="7"/>
        <v>519380.4880401452</v>
      </c>
      <c r="E149" s="99">
        <f t="shared" si="8"/>
        <v>-2000000</v>
      </c>
      <c r="F149" s="99">
        <f t="shared" si="11"/>
        <v>36757788.60524945</v>
      </c>
    </row>
    <row r="150" spans="2:6" x14ac:dyDescent="0.25">
      <c r="B150" s="99">
        <f t="shared" si="9"/>
        <v>16</v>
      </c>
      <c r="C150" s="99">
        <f t="shared" si="10"/>
        <v>36757788.60524945</v>
      </c>
      <c r="D150" s="99">
        <f t="shared" si="7"/>
        <v>499269.69047853386</v>
      </c>
      <c r="E150" s="99">
        <f t="shared" si="8"/>
        <v>-2000000</v>
      </c>
      <c r="F150" s="99">
        <f t="shared" si="11"/>
        <v>35257058.295727983</v>
      </c>
    </row>
    <row r="151" spans="2:6" x14ac:dyDescent="0.25">
      <c r="B151" s="99">
        <f t="shared" si="9"/>
        <v>17</v>
      </c>
      <c r="C151" s="99">
        <f t="shared" si="10"/>
        <v>35257058.295727983</v>
      </c>
      <c r="D151" s="99">
        <f t="shared" si="7"/>
        <v>478885.73416459135</v>
      </c>
      <c r="E151" s="99">
        <f t="shared" si="8"/>
        <v>-2000000</v>
      </c>
      <c r="F151" s="99">
        <f t="shared" si="11"/>
        <v>33735944.029892571</v>
      </c>
    </row>
    <row r="152" spans="2:6" x14ac:dyDescent="0.25">
      <c r="B152" s="99">
        <f t="shared" si="9"/>
        <v>18</v>
      </c>
      <c r="C152" s="99">
        <f t="shared" si="10"/>
        <v>33735944.029892571</v>
      </c>
      <c r="D152" s="99">
        <f t="shared" si="7"/>
        <v>458224.90886734618</v>
      </c>
      <c r="E152" s="99">
        <f t="shared" si="8"/>
        <v>-2000000</v>
      </c>
      <c r="F152" s="99">
        <f t="shared" si="11"/>
        <v>32194168.938759916</v>
      </c>
    </row>
    <row r="153" spans="2:6" x14ac:dyDescent="0.25">
      <c r="B153" s="99">
        <f t="shared" si="9"/>
        <v>19</v>
      </c>
      <c r="C153" s="99">
        <f t="shared" si="10"/>
        <v>32194168.938759916</v>
      </c>
      <c r="D153" s="99">
        <f t="shared" si="7"/>
        <v>437283.45396090543</v>
      </c>
      <c r="E153" s="99">
        <f t="shared" si="8"/>
        <v>-2000000</v>
      </c>
      <c r="F153" s="99">
        <f t="shared" si="11"/>
        <v>30631452.392720822</v>
      </c>
    </row>
    <row r="154" spans="2:6" x14ac:dyDescent="0.25">
      <c r="B154" s="99">
        <f t="shared" si="9"/>
        <v>20</v>
      </c>
      <c r="C154" s="99">
        <f t="shared" si="10"/>
        <v>30631452.392720822</v>
      </c>
      <c r="D154" s="99">
        <f t="shared" si="7"/>
        <v>416057.55773995601</v>
      </c>
      <c r="E154" s="99">
        <f t="shared" si="8"/>
        <v>-2000000</v>
      </c>
      <c r="F154" s="99">
        <f t="shared" si="11"/>
        <v>29047509.950460777</v>
      </c>
    </row>
    <row r="155" spans="2:6" s="117" customFormat="1" x14ac:dyDescent="0.25">
      <c r="B155" s="116">
        <f t="shared" si="9"/>
        <v>21</v>
      </c>
      <c r="C155" s="116">
        <f t="shared" si="10"/>
        <v>29047509.950460777</v>
      </c>
      <c r="D155" s="116">
        <f t="shared" si="7"/>
        <v>394543.35672596877</v>
      </c>
      <c r="E155" s="116">
        <f t="shared" si="8"/>
        <v>-2000000</v>
      </c>
      <c r="F155" s="116">
        <f>+C155+D155+E155</f>
        <v>27442053.307186745</v>
      </c>
    </row>
    <row r="156" spans="2:6" x14ac:dyDescent="0.25">
      <c r="B156" s="99">
        <f t="shared" si="9"/>
        <v>22</v>
      </c>
      <c r="C156" s="99">
        <f t="shared" si="10"/>
        <v>27442053.307186745</v>
      </c>
      <c r="D156" s="99">
        <f t="shared" si="7"/>
        <v>372736.934963979</v>
      </c>
      <c r="E156" s="99">
        <f t="shared" si="8"/>
        <v>-2000000</v>
      </c>
      <c r="F156" s="99">
        <f t="shared" si="11"/>
        <v>25814790.242150724</v>
      </c>
    </row>
    <row r="157" spans="2:6" x14ac:dyDescent="0.25">
      <c r="B157" s="99">
        <f t="shared" si="9"/>
        <v>23</v>
      </c>
      <c r="C157" s="99">
        <f t="shared" si="10"/>
        <v>25814790.242150724</v>
      </c>
      <c r="D157" s="99">
        <f t="shared" si="7"/>
        <v>350634.32330981496</v>
      </c>
      <c r="E157" s="99">
        <f t="shared" si="8"/>
        <v>-2000000</v>
      </c>
      <c r="F157" s="99">
        <f t="shared" si="11"/>
        <v>24165424.56546054</v>
      </c>
    </row>
    <row r="158" spans="2:6" x14ac:dyDescent="0.25">
      <c r="B158" s="99">
        <f t="shared" si="9"/>
        <v>24</v>
      </c>
      <c r="C158" s="99">
        <f t="shared" si="10"/>
        <v>24165424.56546054</v>
      </c>
      <c r="D158" s="99">
        <f t="shared" si="7"/>
        <v>328231.49870764551</v>
      </c>
      <c r="E158" s="99">
        <f t="shared" si="8"/>
        <v>-2000000</v>
      </c>
      <c r="F158" s="99">
        <f t="shared" si="11"/>
        <v>22493656.064168185</v>
      </c>
    </row>
    <row r="159" spans="2:6" x14ac:dyDescent="0.25">
      <c r="B159" s="99">
        <f t="shared" si="9"/>
        <v>25</v>
      </c>
      <c r="C159" s="99">
        <f t="shared" si="10"/>
        <v>22493656.064168185</v>
      </c>
      <c r="D159" s="99">
        <f t="shared" si="7"/>
        <v>305524.38345771463</v>
      </c>
      <c r="E159" s="99">
        <f t="shared" si="8"/>
        <v>-2000000</v>
      </c>
      <c r="F159" s="99">
        <f t="shared" si="11"/>
        <v>20799180.447625898</v>
      </c>
    </row>
    <row r="160" spans="2:6" x14ac:dyDescent="0.25">
      <c r="B160" s="99">
        <f t="shared" si="9"/>
        <v>26</v>
      </c>
      <c r="C160" s="99">
        <f t="shared" si="10"/>
        <v>20799180.447625898</v>
      </c>
      <c r="D160" s="99">
        <f t="shared" si="7"/>
        <v>282508.84447412973</v>
      </c>
      <c r="E160" s="99">
        <f t="shared" si="8"/>
        <v>-2000000</v>
      </c>
      <c r="F160" s="99">
        <f t="shared" si="11"/>
        <v>19081689.292100027</v>
      </c>
    </row>
    <row r="161" spans="2:7" x14ac:dyDescent="0.25">
      <c r="B161" s="99">
        <f t="shared" si="9"/>
        <v>27</v>
      </c>
      <c r="C161" s="99">
        <f t="shared" si="10"/>
        <v>19081689.292100027</v>
      </c>
      <c r="D161" s="99">
        <f t="shared" si="7"/>
        <v>259180.69253256923</v>
      </c>
      <c r="E161" s="99">
        <f t="shared" si="8"/>
        <v>-2000000</v>
      </c>
      <c r="F161" s="99">
        <f t="shared" si="11"/>
        <v>17340869.984632596</v>
      </c>
    </row>
    <row r="162" spans="2:7" x14ac:dyDescent="0.25">
      <c r="B162" s="99">
        <f t="shared" si="9"/>
        <v>28</v>
      </c>
      <c r="C162" s="99">
        <f t="shared" si="10"/>
        <v>17340869.984632596</v>
      </c>
      <c r="D162" s="99">
        <f t="shared" si="7"/>
        <v>235535.68150777117</v>
      </c>
      <c r="E162" s="99">
        <f t="shared" si="8"/>
        <v>-2000000</v>
      </c>
      <c r="F162" s="99">
        <f t="shared" si="11"/>
        <v>15576405.666140366</v>
      </c>
    </row>
    <row r="163" spans="2:7" x14ac:dyDescent="0.25">
      <c r="B163" s="99">
        <f t="shared" si="9"/>
        <v>29</v>
      </c>
      <c r="C163" s="99">
        <f t="shared" si="10"/>
        <v>15576405.666140366</v>
      </c>
      <c r="D163" s="99">
        <f t="shared" si="7"/>
        <v>211569.50760066556</v>
      </c>
      <c r="E163" s="99">
        <f t="shared" si="8"/>
        <v>-2000000</v>
      </c>
      <c r="F163" s="99">
        <f t="shared" si="11"/>
        <v>13787975.173741031</v>
      </c>
    </row>
    <row r="164" spans="2:7" x14ac:dyDescent="0.25">
      <c r="B164" s="99">
        <f t="shared" si="9"/>
        <v>30</v>
      </c>
      <c r="C164" s="99">
        <f t="shared" si="10"/>
        <v>13787975.173741031</v>
      </c>
      <c r="D164" s="99">
        <f t="shared" si="7"/>
        <v>187277.8085550089</v>
      </c>
      <c r="E164" s="99">
        <f t="shared" si="8"/>
        <v>-2000000</v>
      </c>
      <c r="F164" s="99">
        <f t="shared" si="11"/>
        <v>11975252.98229604</v>
      </c>
    </row>
    <row r="165" spans="2:7" x14ac:dyDescent="0.25">
      <c r="B165" s="99">
        <f t="shared" si="9"/>
        <v>31</v>
      </c>
      <c r="C165" s="99">
        <f t="shared" si="10"/>
        <v>11975252.98229604</v>
      </c>
      <c r="D165" s="99">
        <f t="shared" si="7"/>
        <v>162656.16286337824</v>
      </c>
      <c r="E165" s="99">
        <f t="shared" si="8"/>
        <v>-2000000</v>
      </c>
      <c r="F165" s="99">
        <f t="shared" si="11"/>
        <v>10137909.145159418</v>
      </c>
    </row>
    <row r="166" spans="2:7" x14ac:dyDescent="0.25">
      <c r="B166" s="99">
        <f t="shared" si="9"/>
        <v>32</v>
      </c>
      <c r="C166" s="99">
        <f t="shared" si="10"/>
        <v>10137909.145159418</v>
      </c>
      <c r="D166" s="99">
        <f t="shared" si="7"/>
        <v>137700.08896238089</v>
      </c>
      <c r="E166" s="99">
        <f t="shared" si="8"/>
        <v>-2000000</v>
      </c>
      <c r="F166" s="99">
        <f t="shared" si="11"/>
        <v>8275609.2341217995</v>
      </c>
    </row>
    <row r="167" spans="2:7" x14ac:dyDescent="0.25">
      <c r="B167" s="99">
        <f t="shared" si="9"/>
        <v>33</v>
      </c>
      <c r="C167" s="99">
        <f t="shared" si="10"/>
        <v>8275609.2341217995</v>
      </c>
      <c r="D167" s="99">
        <f t="shared" si="7"/>
        <v>112405.04441693271</v>
      </c>
      <c r="E167" s="99">
        <f t="shared" si="8"/>
        <v>-2000000</v>
      </c>
      <c r="F167" s="99">
        <f t="shared" si="11"/>
        <v>6388014.2785387319</v>
      </c>
    </row>
    <row r="168" spans="2:7" x14ac:dyDescent="0.25">
      <c r="B168" s="99">
        <f t="shared" si="9"/>
        <v>34</v>
      </c>
      <c r="C168" s="99">
        <f t="shared" si="10"/>
        <v>6388014.2785387319</v>
      </c>
      <c r="D168" s="99">
        <f t="shared" si="7"/>
        <v>86766.425093456564</v>
      </c>
      <c r="E168" s="99">
        <f t="shared" si="8"/>
        <v>-2000000</v>
      </c>
      <c r="F168" s="99">
        <f t="shared" si="11"/>
        <v>4474780.703632188</v>
      </c>
    </row>
    <row r="169" spans="2:7" x14ac:dyDescent="0.25">
      <c r="B169" s="99">
        <f t="shared" si="9"/>
        <v>35</v>
      </c>
      <c r="C169" s="99">
        <f t="shared" si="10"/>
        <v>4474780.703632188</v>
      </c>
      <c r="D169" s="99">
        <f t="shared" si="7"/>
        <v>60779.564321850936</v>
      </c>
      <c r="E169" s="99">
        <f t="shared" si="8"/>
        <v>-2000000</v>
      </c>
      <c r="F169" s="99">
        <f t="shared" si="11"/>
        <v>2535560.2679540394</v>
      </c>
    </row>
    <row r="170" spans="2:7" x14ac:dyDescent="0.25">
      <c r="B170" s="99">
        <f t="shared" si="9"/>
        <v>36</v>
      </c>
      <c r="C170" s="99">
        <f>+F169</f>
        <v>2535560.2679540394</v>
      </c>
      <c r="D170" s="99">
        <f t="shared" si="7"/>
        <v>34439.732046075587</v>
      </c>
      <c r="E170" s="99">
        <f>C128</f>
        <v>-2570000</v>
      </c>
      <c r="F170" s="99">
        <f t="shared" si="11"/>
        <v>1.150183379650116E-7</v>
      </c>
      <c r="G170" s="84" t="s">
        <v>508</v>
      </c>
    </row>
    <row r="172" spans="2:7" x14ac:dyDescent="0.25">
      <c r="B172" s="107" t="s">
        <v>509</v>
      </c>
    </row>
    <row r="173" spans="2:7" x14ac:dyDescent="0.25">
      <c r="B173" s="107"/>
    </row>
    <row r="174" spans="2:7" ht="17.25" x14ac:dyDescent="0.4">
      <c r="C174" s="118" t="s">
        <v>510</v>
      </c>
      <c r="D174" s="119" t="s">
        <v>511</v>
      </c>
    </row>
    <row r="175" spans="2:7" x14ac:dyDescent="0.25">
      <c r="B175" s="99" t="str">
        <f>[1]HT!A66</f>
        <v xml:space="preserve">  Vehículo (Arrendamiento financiero)</v>
      </c>
      <c r="C175" s="122">
        <f>+B81/1000</f>
        <v>57000</v>
      </c>
      <c r="D175" s="99"/>
    </row>
    <row r="176" spans="2:7" x14ac:dyDescent="0.25">
      <c r="B176" s="99" t="s">
        <v>512</v>
      </c>
      <c r="C176" s="99"/>
      <c r="D176" s="122">
        <f>+B85/1000</f>
        <v>26600</v>
      </c>
      <c r="E176" s="120"/>
    </row>
    <row r="177" spans="2:4" x14ac:dyDescent="0.25">
      <c r="B177" s="99" t="str">
        <f>[1]HT!A87</f>
        <v xml:space="preserve">  Pasivo - Arrendamiento financiero</v>
      </c>
      <c r="C177" s="99"/>
      <c r="D177" s="122">
        <f>+F155/1000</f>
        <v>27442.053307186747</v>
      </c>
    </row>
    <row r="178" spans="2:4" x14ac:dyDescent="0.25">
      <c r="B178" s="99" t="str">
        <f>[1]HT!A137</f>
        <v xml:space="preserve">  Ganancias retenidas</v>
      </c>
      <c r="C178" s="99"/>
      <c r="D178" s="99">
        <f>+C175-D176-D177</f>
        <v>2957.9466928132533</v>
      </c>
    </row>
    <row r="179" spans="2:4" x14ac:dyDescent="0.25">
      <c r="B179" s="104" t="s">
        <v>513</v>
      </c>
      <c r="C179" s="121">
        <f>SUM(C175:C178)</f>
        <v>57000</v>
      </c>
      <c r="D179" s="121">
        <f>SUM(D175:D178)</f>
        <v>57000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activeCell="A25" sqref="A25"/>
    </sheetView>
  </sheetViews>
  <sheetFormatPr baseColWidth="10" defaultRowHeight="15" x14ac:dyDescent="0.25"/>
  <cols>
    <col min="1" max="1" width="4" style="68" customWidth="1"/>
    <col min="2" max="2" width="25.5703125" style="68" customWidth="1"/>
    <col min="3" max="16384" width="11.42578125" style="68"/>
  </cols>
  <sheetData>
    <row r="2" spans="2:5" x14ac:dyDescent="0.25">
      <c r="B2" s="67" t="s">
        <v>133</v>
      </c>
    </row>
    <row r="4" spans="2:5" x14ac:dyDescent="0.25">
      <c r="B4" s="68" t="s">
        <v>134</v>
      </c>
      <c r="C4" s="68" t="s">
        <v>135</v>
      </c>
    </row>
    <row r="5" spans="2:5" x14ac:dyDescent="0.25">
      <c r="C5" s="68" t="s">
        <v>136</v>
      </c>
    </row>
    <row r="7" spans="2:5" x14ac:dyDescent="0.25">
      <c r="B7" s="68" t="s">
        <v>137</v>
      </c>
      <c r="C7" s="68" t="s">
        <v>138</v>
      </c>
    </row>
    <row r="9" spans="2:5" x14ac:dyDescent="0.25">
      <c r="B9" s="68" t="s">
        <v>139</v>
      </c>
    </row>
    <row r="11" spans="2:5" x14ac:dyDescent="0.25">
      <c r="C11" s="68" t="s">
        <v>141</v>
      </c>
      <c r="D11" s="68" t="s">
        <v>77</v>
      </c>
      <c r="E11" s="68" t="s">
        <v>142</v>
      </c>
    </row>
    <row r="12" spans="2:5" x14ac:dyDescent="0.25">
      <c r="B12" s="68" t="s">
        <v>140</v>
      </c>
      <c r="D12" s="68">
        <f>+HT!C7</f>
        <v>5950</v>
      </c>
    </row>
    <row r="13" spans="2:5" x14ac:dyDescent="0.25">
      <c r="B13" s="68" t="str">
        <f>+HT!B8</f>
        <v xml:space="preserve">  Caja menor</v>
      </c>
      <c r="C13" s="68">
        <f>+HT!C8</f>
        <v>950</v>
      </c>
    </row>
    <row r="14" spans="2:5" x14ac:dyDescent="0.25">
      <c r="B14" s="68" t="str">
        <f>+HT!B9</f>
        <v xml:space="preserve">  Banco Davivienda</v>
      </c>
      <c r="C14" s="68">
        <f>+HT!C9</f>
        <v>2600</v>
      </c>
    </row>
    <row r="15" spans="2:5" x14ac:dyDescent="0.25">
      <c r="B15" s="68" t="str">
        <f>+HT!B10</f>
        <v xml:space="preserve">  Banco de Bogotá</v>
      </c>
      <c r="C15" s="68">
        <f>+HT!C10</f>
        <v>2400</v>
      </c>
    </row>
    <row r="17" spans="2:5" x14ac:dyDescent="0.25">
      <c r="B17" s="68" t="s">
        <v>143</v>
      </c>
      <c r="E17" s="68">
        <f>+D12</f>
        <v>5950</v>
      </c>
    </row>
    <row r="18" spans="2:5" x14ac:dyDescent="0.25">
      <c r="B18" s="68" t="str">
        <f>+B13</f>
        <v xml:space="preserve">  Caja menor</v>
      </c>
      <c r="C18" s="68">
        <f>+C13</f>
        <v>950</v>
      </c>
    </row>
    <row r="19" spans="2:5" x14ac:dyDescent="0.25">
      <c r="B19" s="68" t="str">
        <f t="shared" ref="B19:C20" si="0">+B14</f>
        <v xml:space="preserve">  Banco Davivienda</v>
      </c>
      <c r="C19" s="68">
        <f t="shared" si="0"/>
        <v>2600</v>
      </c>
    </row>
    <row r="20" spans="2:5" x14ac:dyDescent="0.25">
      <c r="B20" s="68" t="str">
        <f t="shared" si="0"/>
        <v xml:space="preserve">  Banco de Bogotá</v>
      </c>
      <c r="C20" s="68">
        <f t="shared" si="0"/>
        <v>2400</v>
      </c>
    </row>
    <row r="21" spans="2:5" ht="15.75" thickBot="1" x14ac:dyDescent="0.3">
      <c r="D21" s="69">
        <f>SUM(D12:D20)</f>
        <v>5950</v>
      </c>
      <c r="E21" s="69">
        <f>SUM(E12:E20)</f>
        <v>5950</v>
      </c>
    </row>
    <row r="22" spans="2:5" ht="15.75" thickTop="1" x14ac:dyDescent="0.25"/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6"/>
  <sheetViews>
    <sheetView zoomScale="110" zoomScaleNormal="110" workbookViewId="0">
      <selection activeCell="B2" sqref="B2"/>
    </sheetView>
  </sheetViews>
  <sheetFormatPr baseColWidth="10" defaultRowHeight="15" x14ac:dyDescent="0.25"/>
  <cols>
    <col min="1" max="1" width="4.140625" customWidth="1"/>
    <col min="2" max="2" width="20.7109375" customWidth="1"/>
  </cols>
  <sheetData>
    <row r="2" spans="2:3" x14ac:dyDescent="0.25">
      <c r="B2" s="65" t="s">
        <v>517</v>
      </c>
    </row>
    <row r="8" spans="2:3" x14ac:dyDescent="0.25">
      <c r="B8" t="s">
        <v>518</v>
      </c>
      <c r="C8" s="70">
        <v>41456</v>
      </c>
    </row>
    <row r="9" spans="2:3" x14ac:dyDescent="0.25">
      <c r="B9" t="s">
        <v>519</v>
      </c>
      <c r="C9" s="70">
        <v>41820</v>
      </c>
    </row>
    <row r="10" spans="2:3" x14ac:dyDescent="0.25">
      <c r="B10" t="s">
        <v>520</v>
      </c>
      <c r="C10">
        <v>32000</v>
      </c>
    </row>
    <row r="11" spans="2:3" x14ac:dyDescent="0.25">
      <c r="B11" t="s">
        <v>156</v>
      </c>
      <c r="C11" s="71">
        <v>0.18</v>
      </c>
    </row>
    <row r="12" spans="2:3" x14ac:dyDescent="0.25">
      <c r="B12" t="s">
        <v>521</v>
      </c>
      <c r="C12">
        <v>1200</v>
      </c>
    </row>
    <row r="15" spans="2:3" x14ac:dyDescent="0.25">
      <c r="B15" t="s">
        <v>522</v>
      </c>
    </row>
    <row r="17" spans="2:4" x14ac:dyDescent="0.25">
      <c r="B17" t="s">
        <v>523</v>
      </c>
    </row>
    <row r="18" spans="2:4" x14ac:dyDescent="0.25">
      <c r="B18" t="s">
        <v>524</v>
      </c>
      <c r="C18">
        <f>+C10</f>
        <v>32000</v>
      </c>
    </row>
    <row r="19" spans="2:4" x14ac:dyDescent="0.25">
      <c r="B19" t="s">
        <v>525</v>
      </c>
      <c r="C19">
        <f>-C12</f>
        <v>-1200</v>
      </c>
    </row>
    <row r="20" spans="2:4" x14ac:dyDescent="0.25">
      <c r="B20" t="s">
        <v>375</v>
      </c>
      <c r="C20">
        <f>+C18+C19</f>
        <v>30800</v>
      </c>
    </row>
    <row r="22" spans="2:4" x14ac:dyDescent="0.25">
      <c r="B22" t="s">
        <v>526</v>
      </c>
    </row>
    <row r="23" spans="2:4" x14ac:dyDescent="0.25">
      <c r="B23" t="s">
        <v>269</v>
      </c>
      <c r="C23">
        <f>+C18</f>
        <v>32000</v>
      </c>
    </row>
    <row r="24" spans="2:4" x14ac:dyDescent="0.25">
      <c r="B24" t="s">
        <v>270</v>
      </c>
      <c r="C24">
        <f>+C23*C11</f>
        <v>5760</v>
      </c>
    </row>
    <row r="25" spans="2:4" x14ac:dyDescent="0.25">
      <c r="C25">
        <f>+C23+C24</f>
        <v>37760</v>
      </c>
    </row>
    <row r="28" spans="2:4" x14ac:dyDescent="0.25">
      <c r="B28" s="70">
        <v>41456</v>
      </c>
      <c r="C28">
        <f>+C20</f>
        <v>30800</v>
      </c>
    </row>
    <row r="29" spans="2:4" x14ac:dyDescent="0.25">
      <c r="B29" s="70">
        <v>41820</v>
      </c>
      <c r="C29">
        <f>-C25</f>
        <v>-37760</v>
      </c>
    </row>
    <row r="31" spans="2:4" x14ac:dyDescent="0.25">
      <c r="C31" s="72">
        <f>XIRR(C28:C29,B28:B29)</f>
        <v>0.22666041254997252</v>
      </c>
      <c r="D31" t="s">
        <v>164</v>
      </c>
    </row>
    <row r="34" spans="2:4" x14ac:dyDescent="0.25">
      <c r="B34" t="s">
        <v>527</v>
      </c>
    </row>
    <row r="35" spans="2:4" x14ac:dyDescent="0.25">
      <c r="B35" s="70">
        <v>41639</v>
      </c>
    </row>
    <row r="36" spans="2:4" x14ac:dyDescent="0.25">
      <c r="C36" t="s">
        <v>166</v>
      </c>
    </row>
    <row r="37" spans="2:4" x14ac:dyDescent="0.25">
      <c r="B37" s="70">
        <v>41820</v>
      </c>
      <c r="C37">
        <f>+C25</f>
        <v>37760</v>
      </c>
    </row>
    <row r="38" spans="2:4" x14ac:dyDescent="0.25">
      <c r="B38" t="s">
        <v>528</v>
      </c>
      <c r="C38" s="66">
        <f>+B37-B35</f>
        <v>181</v>
      </c>
    </row>
    <row r="39" spans="2:4" x14ac:dyDescent="0.25">
      <c r="B39" t="s">
        <v>168</v>
      </c>
      <c r="C39" s="68">
        <f>+C37/(1+C31)^(C38/365)</f>
        <v>34121.996287538845</v>
      </c>
      <c r="D39" t="s">
        <v>169</v>
      </c>
    </row>
    <row r="40" spans="2:4" x14ac:dyDescent="0.25">
      <c r="C40">
        <f>+C10</f>
        <v>32000</v>
      </c>
      <c r="D40" t="s">
        <v>170</v>
      </c>
    </row>
    <row r="41" spans="2:4" x14ac:dyDescent="0.25">
      <c r="C41" s="74">
        <f>+C39-C40</f>
        <v>2121.9962875388446</v>
      </c>
      <c r="D41" t="s">
        <v>529</v>
      </c>
    </row>
    <row r="44" spans="2:4" x14ac:dyDescent="0.25">
      <c r="B44" t="s">
        <v>235</v>
      </c>
      <c r="C44" s="74">
        <f>+C41</f>
        <v>2121.9962875388446</v>
      </c>
    </row>
    <row r="45" spans="2:4" x14ac:dyDescent="0.25">
      <c r="B45" t="s">
        <v>514</v>
      </c>
      <c r="D45" s="74">
        <f>+C44</f>
        <v>2121.9962875388446</v>
      </c>
    </row>
    <row r="46" spans="2:4" x14ac:dyDescent="0.25">
      <c r="C46" s="75">
        <f>SUM(C44:C45)</f>
        <v>2121.9962875388446</v>
      </c>
      <c r="D46" s="75">
        <f>SUM(D44:D45)</f>
        <v>2121.9962875388446</v>
      </c>
    </row>
    <row r="50" spans="2:3" x14ac:dyDescent="0.25">
      <c r="B50" s="65" t="s">
        <v>531</v>
      </c>
    </row>
    <row r="53" spans="2:3" x14ac:dyDescent="0.25">
      <c r="B53" t="s">
        <v>532</v>
      </c>
      <c r="C53" s="70">
        <v>42369</v>
      </c>
    </row>
    <row r="54" spans="2:3" x14ac:dyDescent="0.25">
      <c r="B54" t="s">
        <v>533</v>
      </c>
    </row>
    <row r="55" spans="2:3" x14ac:dyDescent="0.25">
      <c r="B55" t="s">
        <v>269</v>
      </c>
      <c r="C55">
        <v>30000</v>
      </c>
    </row>
    <row r="56" spans="2:3" x14ac:dyDescent="0.25">
      <c r="B56" t="s">
        <v>270</v>
      </c>
      <c r="C56">
        <f>+C55*6%</f>
        <v>1800</v>
      </c>
    </row>
    <row r="57" spans="2:3" x14ac:dyDescent="0.25">
      <c r="C57">
        <f>+C55+C56</f>
        <v>31800</v>
      </c>
    </row>
    <row r="59" spans="2:3" x14ac:dyDescent="0.25">
      <c r="B59" t="s">
        <v>534</v>
      </c>
      <c r="C59" s="70">
        <v>42004</v>
      </c>
    </row>
    <row r="60" spans="2:3" x14ac:dyDescent="0.25">
      <c r="B60" t="s">
        <v>89</v>
      </c>
      <c r="C60">
        <f>+C56</f>
        <v>1800</v>
      </c>
    </row>
    <row r="61" spans="2:3" x14ac:dyDescent="0.25">
      <c r="B61" t="s">
        <v>267</v>
      </c>
      <c r="C61" s="71">
        <v>0.18</v>
      </c>
    </row>
    <row r="63" spans="2:3" x14ac:dyDescent="0.25">
      <c r="B63" t="s">
        <v>191</v>
      </c>
    </row>
    <row r="64" spans="2:3" x14ac:dyDescent="0.25">
      <c r="B64" s="70">
        <v>41639</v>
      </c>
    </row>
    <row r="65" spans="2:5" x14ac:dyDescent="0.25">
      <c r="B65" t="s">
        <v>535</v>
      </c>
      <c r="C65" t="s">
        <v>166</v>
      </c>
      <c r="D65" t="s">
        <v>271</v>
      </c>
      <c r="E65" t="s">
        <v>168</v>
      </c>
    </row>
    <row r="66" spans="2:5" x14ac:dyDescent="0.25">
      <c r="B66" s="70">
        <v>42004</v>
      </c>
      <c r="C66">
        <f>+C60</f>
        <v>1800</v>
      </c>
      <c r="D66" s="66">
        <f>+B66-B64</f>
        <v>365</v>
      </c>
      <c r="E66" s="68">
        <f>+C66/(1+C61)^(D66/365)</f>
        <v>1525.4237288135594</v>
      </c>
    </row>
    <row r="67" spans="2:5" x14ac:dyDescent="0.25">
      <c r="B67" s="70">
        <v>42369</v>
      </c>
      <c r="C67">
        <f>+C57</f>
        <v>31800</v>
      </c>
      <c r="D67" s="66">
        <f>+B67-B64</f>
        <v>730</v>
      </c>
      <c r="E67" s="68">
        <f>+C67/(1+C61)^(D67/365)</f>
        <v>22838.2648664177</v>
      </c>
    </row>
    <row r="68" spans="2:5" x14ac:dyDescent="0.25">
      <c r="B68" t="s">
        <v>169</v>
      </c>
      <c r="E68" s="74">
        <f>+E66+E67</f>
        <v>24363.688595231259</v>
      </c>
    </row>
    <row r="69" spans="2:5" x14ac:dyDescent="0.25">
      <c r="B69" t="s">
        <v>536</v>
      </c>
      <c r="E69">
        <f>+HT!C72</f>
        <v>30000</v>
      </c>
    </row>
    <row r="70" spans="2:5" x14ac:dyDescent="0.25">
      <c r="B70" t="s">
        <v>290</v>
      </c>
      <c r="E70" s="74">
        <f>+E68-E69</f>
        <v>-5636.3114047687413</v>
      </c>
    </row>
    <row r="72" spans="2:5" x14ac:dyDescent="0.25">
      <c r="B72" t="s">
        <v>194</v>
      </c>
    </row>
    <row r="74" spans="2:5" x14ac:dyDescent="0.25">
      <c r="B74" t="s">
        <v>537</v>
      </c>
      <c r="C74" s="74">
        <f>-E70</f>
        <v>5636.3114047687413</v>
      </c>
    </row>
    <row r="75" spans="2:5" x14ac:dyDescent="0.25">
      <c r="B75" t="s">
        <v>177</v>
      </c>
      <c r="D75" s="74">
        <f>+C74</f>
        <v>5636.3114047687413</v>
      </c>
    </row>
    <row r="76" spans="2:5" x14ac:dyDescent="0.25">
      <c r="C76" s="75">
        <f>SUM(C74:C75)</f>
        <v>5636.3114047687413</v>
      </c>
      <c r="D76" s="75">
        <f>SUM(D74:D75)</f>
        <v>5636.3114047687413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A2" sqref="A2"/>
    </sheetView>
  </sheetViews>
  <sheetFormatPr baseColWidth="10" defaultRowHeight="15" x14ac:dyDescent="0.25"/>
  <cols>
    <col min="1" max="1" width="42" style="38" customWidth="1"/>
    <col min="2" max="4" width="11.42578125" style="38"/>
    <col min="5" max="5" width="11.42578125" style="58"/>
    <col min="6" max="256" width="11.42578125" style="38"/>
    <col min="257" max="257" width="42" style="38" customWidth="1"/>
    <col min="258" max="512" width="11.42578125" style="38"/>
    <col min="513" max="513" width="42" style="38" customWidth="1"/>
    <col min="514" max="768" width="11.42578125" style="38"/>
    <col min="769" max="769" width="42" style="38" customWidth="1"/>
    <col min="770" max="1024" width="11.42578125" style="38"/>
    <col min="1025" max="1025" width="42" style="38" customWidth="1"/>
    <col min="1026" max="1280" width="11.42578125" style="38"/>
    <col min="1281" max="1281" width="42" style="38" customWidth="1"/>
    <col min="1282" max="1536" width="11.42578125" style="38"/>
    <col min="1537" max="1537" width="42" style="38" customWidth="1"/>
    <col min="1538" max="1792" width="11.42578125" style="38"/>
    <col min="1793" max="1793" width="42" style="38" customWidth="1"/>
    <col min="1794" max="2048" width="11.42578125" style="38"/>
    <col min="2049" max="2049" width="42" style="38" customWidth="1"/>
    <col min="2050" max="2304" width="11.42578125" style="38"/>
    <col min="2305" max="2305" width="42" style="38" customWidth="1"/>
    <col min="2306" max="2560" width="11.42578125" style="38"/>
    <col min="2561" max="2561" width="42" style="38" customWidth="1"/>
    <col min="2562" max="2816" width="11.42578125" style="38"/>
    <col min="2817" max="2817" width="42" style="38" customWidth="1"/>
    <col min="2818" max="3072" width="11.42578125" style="38"/>
    <col min="3073" max="3073" width="42" style="38" customWidth="1"/>
    <col min="3074" max="3328" width="11.42578125" style="38"/>
    <col min="3329" max="3329" width="42" style="38" customWidth="1"/>
    <col min="3330" max="3584" width="11.42578125" style="38"/>
    <col min="3585" max="3585" width="42" style="38" customWidth="1"/>
    <col min="3586" max="3840" width="11.42578125" style="38"/>
    <col min="3841" max="3841" width="42" style="38" customWidth="1"/>
    <col min="3842" max="4096" width="11.42578125" style="38"/>
    <col min="4097" max="4097" width="42" style="38" customWidth="1"/>
    <col min="4098" max="4352" width="11.42578125" style="38"/>
    <col min="4353" max="4353" width="42" style="38" customWidth="1"/>
    <col min="4354" max="4608" width="11.42578125" style="38"/>
    <col min="4609" max="4609" width="42" style="38" customWidth="1"/>
    <col min="4610" max="4864" width="11.42578125" style="38"/>
    <col min="4865" max="4865" width="42" style="38" customWidth="1"/>
    <col min="4866" max="5120" width="11.42578125" style="38"/>
    <col min="5121" max="5121" width="42" style="38" customWidth="1"/>
    <col min="5122" max="5376" width="11.42578125" style="38"/>
    <col min="5377" max="5377" width="42" style="38" customWidth="1"/>
    <col min="5378" max="5632" width="11.42578125" style="38"/>
    <col min="5633" max="5633" width="42" style="38" customWidth="1"/>
    <col min="5634" max="5888" width="11.42578125" style="38"/>
    <col min="5889" max="5889" width="42" style="38" customWidth="1"/>
    <col min="5890" max="6144" width="11.42578125" style="38"/>
    <col min="6145" max="6145" width="42" style="38" customWidth="1"/>
    <col min="6146" max="6400" width="11.42578125" style="38"/>
    <col min="6401" max="6401" width="42" style="38" customWidth="1"/>
    <col min="6402" max="6656" width="11.42578125" style="38"/>
    <col min="6657" max="6657" width="42" style="38" customWidth="1"/>
    <col min="6658" max="6912" width="11.42578125" style="38"/>
    <col min="6913" max="6913" width="42" style="38" customWidth="1"/>
    <col min="6914" max="7168" width="11.42578125" style="38"/>
    <col min="7169" max="7169" width="42" style="38" customWidth="1"/>
    <col min="7170" max="7424" width="11.42578125" style="38"/>
    <col min="7425" max="7425" width="42" style="38" customWidth="1"/>
    <col min="7426" max="7680" width="11.42578125" style="38"/>
    <col min="7681" max="7681" width="42" style="38" customWidth="1"/>
    <col min="7682" max="7936" width="11.42578125" style="38"/>
    <col min="7937" max="7937" width="42" style="38" customWidth="1"/>
    <col min="7938" max="8192" width="11.42578125" style="38"/>
    <col min="8193" max="8193" width="42" style="38" customWidth="1"/>
    <col min="8194" max="8448" width="11.42578125" style="38"/>
    <col min="8449" max="8449" width="42" style="38" customWidth="1"/>
    <col min="8450" max="8704" width="11.42578125" style="38"/>
    <col min="8705" max="8705" width="42" style="38" customWidth="1"/>
    <col min="8706" max="8960" width="11.42578125" style="38"/>
    <col min="8961" max="8961" width="42" style="38" customWidth="1"/>
    <col min="8962" max="9216" width="11.42578125" style="38"/>
    <col min="9217" max="9217" width="42" style="38" customWidth="1"/>
    <col min="9218" max="9472" width="11.42578125" style="38"/>
    <col min="9473" max="9473" width="42" style="38" customWidth="1"/>
    <col min="9474" max="9728" width="11.42578125" style="38"/>
    <col min="9729" max="9729" width="42" style="38" customWidth="1"/>
    <col min="9730" max="9984" width="11.42578125" style="38"/>
    <col min="9985" max="9985" width="42" style="38" customWidth="1"/>
    <col min="9986" max="10240" width="11.42578125" style="38"/>
    <col min="10241" max="10241" width="42" style="38" customWidth="1"/>
    <col min="10242" max="10496" width="11.42578125" style="38"/>
    <col min="10497" max="10497" width="42" style="38" customWidth="1"/>
    <col min="10498" max="10752" width="11.42578125" style="38"/>
    <col min="10753" max="10753" width="42" style="38" customWidth="1"/>
    <col min="10754" max="11008" width="11.42578125" style="38"/>
    <col min="11009" max="11009" width="42" style="38" customWidth="1"/>
    <col min="11010" max="11264" width="11.42578125" style="38"/>
    <col min="11265" max="11265" width="42" style="38" customWidth="1"/>
    <col min="11266" max="11520" width="11.42578125" style="38"/>
    <col min="11521" max="11521" width="42" style="38" customWidth="1"/>
    <col min="11522" max="11776" width="11.42578125" style="38"/>
    <col min="11777" max="11777" width="42" style="38" customWidth="1"/>
    <col min="11778" max="12032" width="11.42578125" style="38"/>
    <col min="12033" max="12033" width="42" style="38" customWidth="1"/>
    <col min="12034" max="12288" width="11.42578125" style="38"/>
    <col min="12289" max="12289" width="42" style="38" customWidth="1"/>
    <col min="12290" max="12544" width="11.42578125" style="38"/>
    <col min="12545" max="12545" width="42" style="38" customWidth="1"/>
    <col min="12546" max="12800" width="11.42578125" style="38"/>
    <col min="12801" max="12801" width="42" style="38" customWidth="1"/>
    <col min="12802" max="13056" width="11.42578125" style="38"/>
    <col min="13057" max="13057" width="42" style="38" customWidth="1"/>
    <col min="13058" max="13312" width="11.42578125" style="38"/>
    <col min="13313" max="13313" width="42" style="38" customWidth="1"/>
    <col min="13314" max="13568" width="11.42578125" style="38"/>
    <col min="13569" max="13569" width="42" style="38" customWidth="1"/>
    <col min="13570" max="13824" width="11.42578125" style="38"/>
    <col min="13825" max="13825" width="42" style="38" customWidth="1"/>
    <col min="13826" max="14080" width="11.42578125" style="38"/>
    <col min="14081" max="14081" width="42" style="38" customWidth="1"/>
    <col min="14082" max="14336" width="11.42578125" style="38"/>
    <col min="14337" max="14337" width="42" style="38" customWidth="1"/>
    <col min="14338" max="14592" width="11.42578125" style="38"/>
    <col min="14593" max="14593" width="42" style="38" customWidth="1"/>
    <col min="14594" max="14848" width="11.42578125" style="38"/>
    <col min="14849" max="14849" width="42" style="38" customWidth="1"/>
    <col min="14850" max="15104" width="11.42578125" style="38"/>
    <col min="15105" max="15105" width="42" style="38" customWidth="1"/>
    <col min="15106" max="15360" width="11.42578125" style="38"/>
    <col min="15361" max="15361" width="42" style="38" customWidth="1"/>
    <col min="15362" max="15616" width="11.42578125" style="38"/>
    <col min="15617" max="15617" width="42" style="38" customWidth="1"/>
    <col min="15618" max="15872" width="11.42578125" style="38"/>
    <col min="15873" max="15873" width="42" style="38" customWidth="1"/>
    <col min="15874" max="16128" width="11.42578125" style="38"/>
    <col min="16129" max="16129" width="42" style="38" customWidth="1"/>
    <col min="16130" max="16384" width="11.42578125" style="38"/>
  </cols>
  <sheetData>
    <row r="1" spans="1:7" x14ac:dyDescent="0.25">
      <c r="A1" s="37" t="s">
        <v>0</v>
      </c>
    </row>
    <row r="2" spans="1:7" x14ac:dyDescent="0.25">
      <c r="A2" s="37" t="s">
        <v>82</v>
      </c>
    </row>
    <row r="3" spans="1:7" x14ac:dyDescent="0.25">
      <c r="A3" s="37" t="s">
        <v>83</v>
      </c>
    </row>
    <row r="4" spans="1:7" x14ac:dyDescent="0.25">
      <c r="A4" s="37" t="s">
        <v>3</v>
      </c>
    </row>
    <row r="5" spans="1:7" x14ac:dyDescent="0.25">
      <c r="A5" s="37"/>
    </row>
    <row r="6" spans="1:7" x14ac:dyDescent="0.25">
      <c r="A6" s="37" t="s">
        <v>84</v>
      </c>
    </row>
    <row r="7" spans="1:7" x14ac:dyDescent="0.25">
      <c r="A7" s="37"/>
      <c r="B7" s="39"/>
      <c r="C7" s="40">
        <v>0.34</v>
      </c>
      <c r="D7" s="39"/>
      <c r="E7" s="59" t="s">
        <v>85</v>
      </c>
      <c r="F7" s="158" t="s">
        <v>86</v>
      </c>
      <c r="G7" s="158"/>
    </row>
    <row r="8" spans="1:7" x14ac:dyDescent="0.25">
      <c r="A8" s="37"/>
      <c r="B8" s="39" t="s">
        <v>87</v>
      </c>
      <c r="C8" s="39" t="s">
        <v>88</v>
      </c>
      <c r="D8" s="39" t="s">
        <v>72</v>
      </c>
      <c r="E8" s="59" t="s">
        <v>89</v>
      </c>
      <c r="F8" s="39" t="s">
        <v>4</v>
      </c>
      <c r="G8" s="39" t="s">
        <v>41</v>
      </c>
    </row>
    <row r="9" spans="1:7" x14ac:dyDescent="0.25">
      <c r="A9" s="37"/>
    </row>
    <row r="10" spans="1:7" x14ac:dyDescent="0.25">
      <c r="A10" s="41" t="s">
        <v>4</v>
      </c>
    </row>
    <row r="11" spans="1:7" x14ac:dyDescent="0.25">
      <c r="A11" s="41" t="s">
        <v>90</v>
      </c>
      <c r="B11" s="42">
        <f t="shared" ref="B11:G11" si="0">SUM(B12:B14)</f>
        <v>5950</v>
      </c>
      <c r="C11" s="42">
        <f t="shared" si="0"/>
        <v>5950</v>
      </c>
      <c r="D11" s="42">
        <f t="shared" si="0"/>
        <v>0</v>
      </c>
      <c r="E11" s="60">
        <f t="shared" si="0"/>
        <v>0</v>
      </c>
      <c r="F11" s="42">
        <f t="shared" si="0"/>
        <v>0</v>
      </c>
      <c r="G11" s="42">
        <f t="shared" si="0"/>
        <v>0</v>
      </c>
    </row>
    <row r="12" spans="1:7" x14ac:dyDescent="0.25">
      <c r="A12" s="43" t="s">
        <v>6</v>
      </c>
      <c r="B12" s="44">
        <v>950</v>
      </c>
      <c r="C12" s="44">
        <f>[1]HT!B10</f>
        <v>950</v>
      </c>
      <c r="D12" s="44">
        <f>B12-C12</f>
        <v>0</v>
      </c>
      <c r="E12" s="61">
        <f>D12</f>
        <v>0</v>
      </c>
      <c r="F12" s="44">
        <v>0</v>
      </c>
      <c r="G12" s="44">
        <v>0</v>
      </c>
    </row>
    <row r="13" spans="1:7" x14ac:dyDescent="0.25">
      <c r="A13" s="43" t="s">
        <v>7</v>
      </c>
      <c r="B13" s="44">
        <v>2600</v>
      </c>
      <c r="C13" s="44">
        <f>[1]HT!B11</f>
        <v>2600</v>
      </c>
      <c r="D13" s="44">
        <f>B13-C13</f>
        <v>0</v>
      </c>
      <c r="E13" s="61">
        <f>D13</f>
        <v>0</v>
      </c>
      <c r="F13" s="44">
        <v>0</v>
      </c>
      <c r="G13" s="44">
        <v>0</v>
      </c>
    </row>
    <row r="14" spans="1:7" x14ac:dyDescent="0.25">
      <c r="A14" s="43" t="s">
        <v>8</v>
      </c>
      <c r="B14" s="44">
        <v>2400</v>
      </c>
      <c r="C14" s="44">
        <f>[1]HT!B12</f>
        <v>2400</v>
      </c>
      <c r="D14" s="44">
        <f>B14-C14</f>
        <v>0</v>
      </c>
      <c r="E14" s="61">
        <f>D14</f>
        <v>0</v>
      </c>
      <c r="F14" s="44">
        <v>0</v>
      </c>
      <c r="G14" s="44">
        <v>0</v>
      </c>
    </row>
    <row r="15" spans="1:7" ht="26.25" x14ac:dyDescent="0.25">
      <c r="A15" s="45" t="s">
        <v>91</v>
      </c>
      <c r="B15" s="42">
        <f>SUM(B16:B18)</f>
        <v>25123.805307684706</v>
      </c>
      <c r="C15" s="42">
        <f>SUM(C16:C18)</f>
        <v>24070</v>
      </c>
      <c r="D15" s="42">
        <f>SUM(D16:D18)</f>
        <v>1053.8053076847082</v>
      </c>
      <c r="E15" s="60">
        <f>SUM(E16:E18)</f>
        <v>1053.8053076847082</v>
      </c>
      <c r="F15" s="42">
        <f>SUM(F16:F17)</f>
        <v>0</v>
      </c>
      <c r="G15" s="42">
        <f>SUM(G16:G18)</f>
        <v>399.0938046128008</v>
      </c>
    </row>
    <row r="16" spans="1:7" ht="26.25" x14ac:dyDescent="0.25">
      <c r="A16" s="46" t="s">
        <v>92</v>
      </c>
      <c r="B16" s="44">
        <v>14023.805307684708</v>
      </c>
      <c r="C16" s="44">
        <f>[1]HT!B19</f>
        <v>13400</v>
      </c>
      <c r="D16" s="44">
        <f>B16-C16</f>
        <v>623.80530768470817</v>
      </c>
      <c r="E16" s="61">
        <f>D16</f>
        <v>623.80530768470817</v>
      </c>
      <c r="F16" s="44">
        <v>0</v>
      </c>
      <c r="G16" s="44">
        <f>E16*C7</f>
        <v>212.0938046128008</v>
      </c>
    </row>
    <row r="17" spans="1:7" ht="26.25" x14ac:dyDescent="0.25">
      <c r="A17" s="46" t="s">
        <v>93</v>
      </c>
      <c r="B17" s="44">
        <v>8550</v>
      </c>
      <c r="C17" s="44">
        <f>[1]HT!B20</f>
        <v>8000</v>
      </c>
      <c r="D17" s="44">
        <f>B17-C17</f>
        <v>550</v>
      </c>
      <c r="E17" s="61">
        <f>D17</f>
        <v>550</v>
      </c>
      <c r="F17" s="44">
        <v>0</v>
      </c>
      <c r="G17" s="44">
        <f>E17*C7</f>
        <v>187</v>
      </c>
    </row>
    <row r="18" spans="1:7" x14ac:dyDescent="0.25">
      <c r="A18" s="46" t="s">
        <v>94</v>
      </c>
      <c r="B18" s="44">
        <v>2550</v>
      </c>
      <c r="C18" s="44">
        <f>+'[1]Inversiones Perman'!D22+'[1]Inversiones Perman'!D23</f>
        <v>2670</v>
      </c>
      <c r="D18" s="44">
        <f>B18-C18</f>
        <v>-120</v>
      </c>
      <c r="E18" s="61">
        <f>D18</f>
        <v>-120</v>
      </c>
      <c r="F18" s="44">
        <v>0</v>
      </c>
      <c r="G18" s="44">
        <v>0</v>
      </c>
    </row>
    <row r="19" spans="1:7" x14ac:dyDescent="0.25">
      <c r="A19" s="41" t="s">
        <v>95</v>
      </c>
      <c r="B19" s="42">
        <f t="shared" ref="B19:G19" si="1">SUM(B20:B22)</f>
        <v>42790.710036370132</v>
      </c>
      <c r="C19" s="42">
        <f t="shared" si="1"/>
        <v>43500</v>
      </c>
      <c r="D19" s="42">
        <f t="shared" si="1"/>
        <v>-709.28996362986436</v>
      </c>
      <c r="E19" s="60">
        <f t="shared" si="1"/>
        <v>-709.28996362986436</v>
      </c>
      <c r="F19" s="42">
        <f t="shared" si="1"/>
        <v>1054.4385876341539</v>
      </c>
      <c r="G19" s="42">
        <f t="shared" si="1"/>
        <v>813.28000000000009</v>
      </c>
    </row>
    <row r="20" spans="1:7" x14ac:dyDescent="0.25">
      <c r="A20" s="47" t="s">
        <v>13</v>
      </c>
      <c r="B20" s="44">
        <v>29047.29</v>
      </c>
      <c r="C20" s="44">
        <f>[1]HT!B26+[1]HT!B31</f>
        <v>31500</v>
      </c>
      <c r="D20" s="44">
        <f>B20-C20</f>
        <v>-2452.7099999999991</v>
      </c>
      <c r="E20" s="61">
        <f>D20</f>
        <v>-2452.7099999999991</v>
      </c>
      <c r="F20" s="44">
        <f>-E20*C7</f>
        <v>833.92139999999972</v>
      </c>
      <c r="G20" s="44">
        <v>0</v>
      </c>
    </row>
    <row r="21" spans="1:7" x14ac:dyDescent="0.25">
      <c r="A21" s="47" t="s">
        <v>17</v>
      </c>
      <c r="B21" s="44">
        <v>11351.420036370135</v>
      </c>
      <c r="C21" s="44">
        <f>[1]HT!B30</f>
        <v>12000</v>
      </c>
      <c r="D21" s="44">
        <f>B21-C21</f>
        <v>-648.57996362986523</v>
      </c>
      <c r="E21" s="61">
        <f>D21</f>
        <v>-648.57996362986523</v>
      </c>
      <c r="F21" s="44">
        <f>-E21*C7</f>
        <v>220.5171876341542</v>
      </c>
      <c r="G21" s="44">
        <v>0</v>
      </c>
    </row>
    <row r="22" spans="1:7" x14ac:dyDescent="0.25">
      <c r="A22" s="47" t="s">
        <v>96</v>
      </c>
      <c r="B22" s="44">
        <v>2392</v>
      </c>
      <c r="C22" s="38">
        <v>0</v>
      </c>
      <c r="D22" s="44">
        <f>B22-C22</f>
        <v>2392</v>
      </c>
      <c r="E22" s="61">
        <f>D22</f>
        <v>2392</v>
      </c>
      <c r="F22" s="44">
        <v>0</v>
      </c>
      <c r="G22" s="44">
        <f>E22*C7</f>
        <v>813.28000000000009</v>
      </c>
    </row>
    <row r="23" spans="1:7" x14ac:dyDescent="0.25">
      <c r="A23" s="41" t="s">
        <v>19</v>
      </c>
      <c r="B23" s="42">
        <f t="shared" ref="B23:G23" si="2">SUM(B24:B29)</f>
        <v>65667.666666666672</v>
      </c>
      <c r="C23" s="42">
        <f t="shared" si="2"/>
        <v>76000</v>
      </c>
      <c r="D23" s="42">
        <f t="shared" si="2"/>
        <v>-10332.333333333332</v>
      </c>
      <c r="E23" s="60">
        <f t="shared" si="2"/>
        <v>-10332.333333333332</v>
      </c>
      <c r="F23" s="42">
        <f t="shared" si="2"/>
        <v>5340.833333333333</v>
      </c>
      <c r="G23" s="42">
        <f t="shared" si="2"/>
        <v>1827.8400000000001</v>
      </c>
    </row>
    <row r="24" spans="1:7" x14ac:dyDescent="0.25">
      <c r="A24" s="43" t="s">
        <v>20</v>
      </c>
      <c r="B24" s="44">
        <v>5400</v>
      </c>
      <c r="C24" s="44">
        <f>[1]HT!B37</f>
        <v>6000</v>
      </c>
      <c r="D24" s="44">
        <f t="shared" ref="D24:D29" si="3">B24-C24</f>
        <v>-600</v>
      </c>
      <c r="E24" s="61">
        <f t="shared" ref="E24:E29" si="4">D24</f>
        <v>-600</v>
      </c>
      <c r="F24" s="44">
        <f>-E24*C7</f>
        <v>204.00000000000003</v>
      </c>
      <c r="G24" s="44">
        <v>0</v>
      </c>
    </row>
    <row r="25" spans="1:7" x14ac:dyDescent="0.25">
      <c r="A25" s="43" t="s">
        <v>21</v>
      </c>
      <c r="B25" s="44">
        <v>6358.333333333333</v>
      </c>
      <c r="C25" s="44">
        <f>[1]HT!B38</f>
        <v>7000</v>
      </c>
      <c r="D25" s="44">
        <f t="shared" si="3"/>
        <v>-641.66666666666697</v>
      </c>
      <c r="E25" s="61">
        <f t="shared" si="4"/>
        <v>-641.66666666666697</v>
      </c>
      <c r="F25" s="44">
        <f>-E25*C7</f>
        <v>218.1666666666668</v>
      </c>
      <c r="G25" s="44">
        <v>0</v>
      </c>
    </row>
    <row r="26" spans="1:7" x14ac:dyDescent="0.25">
      <c r="A26" s="43" t="s">
        <v>23</v>
      </c>
      <c r="B26" s="44">
        <v>25733.333333333336</v>
      </c>
      <c r="C26" s="44">
        <f>[1]HT!B40</f>
        <v>35000</v>
      </c>
      <c r="D26" s="44">
        <f t="shared" si="3"/>
        <v>-9266.6666666666642</v>
      </c>
      <c r="E26" s="61">
        <f t="shared" si="4"/>
        <v>-9266.6666666666642</v>
      </c>
      <c r="F26" s="44">
        <f>-E26*C7</f>
        <v>3150.6666666666661</v>
      </c>
      <c r="G26" s="44">
        <v>0</v>
      </c>
    </row>
    <row r="27" spans="1:7" x14ac:dyDescent="0.25">
      <c r="A27" s="43" t="s">
        <v>24</v>
      </c>
      <c r="B27" s="44">
        <v>20700</v>
      </c>
      <c r="C27" s="44">
        <f>[1]HT!B41</f>
        <v>23000</v>
      </c>
      <c r="D27" s="44">
        <f t="shared" si="3"/>
        <v>-2300</v>
      </c>
      <c r="E27" s="61">
        <f t="shared" si="4"/>
        <v>-2300</v>
      </c>
      <c r="F27" s="44">
        <f>-E27*C7</f>
        <v>782</v>
      </c>
      <c r="G27" s="44">
        <v>0</v>
      </c>
    </row>
    <row r="28" spans="1:7" x14ac:dyDescent="0.25">
      <c r="A28" s="43" t="s">
        <v>97</v>
      </c>
      <c r="B28" s="44">
        <v>5376</v>
      </c>
      <c r="C28" s="38">
        <v>0</v>
      </c>
      <c r="D28" s="44">
        <f t="shared" si="3"/>
        <v>5376</v>
      </c>
      <c r="E28" s="61">
        <f t="shared" si="4"/>
        <v>5376</v>
      </c>
      <c r="F28" s="44">
        <v>0</v>
      </c>
      <c r="G28" s="44">
        <f>E28*C7</f>
        <v>1827.8400000000001</v>
      </c>
    </row>
    <row r="29" spans="1:7" x14ac:dyDescent="0.25">
      <c r="A29" s="43" t="s">
        <v>26</v>
      </c>
      <c r="B29" s="44">
        <v>2100</v>
      </c>
      <c r="C29" s="44">
        <f>[1]HT!B43</f>
        <v>5000</v>
      </c>
      <c r="D29" s="44">
        <f t="shared" si="3"/>
        <v>-2900</v>
      </c>
      <c r="E29" s="61">
        <f t="shared" si="4"/>
        <v>-2900</v>
      </c>
      <c r="F29" s="44">
        <f>-E29*C7</f>
        <v>986.00000000000011</v>
      </c>
      <c r="G29" s="44">
        <v>0</v>
      </c>
    </row>
    <row r="30" spans="1:7" x14ac:dyDescent="0.25">
      <c r="A30" s="41" t="s">
        <v>98</v>
      </c>
      <c r="B30" s="42">
        <f t="shared" ref="B30:G30" si="5">SUM(B31:B32)</f>
        <v>18500</v>
      </c>
      <c r="C30" s="42">
        <f t="shared" si="5"/>
        <v>0</v>
      </c>
      <c r="D30" s="42">
        <f t="shared" si="5"/>
        <v>18500</v>
      </c>
      <c r="E30" s="60">
        <f t="shared" si="5"/>
        <v>18500</v>
      </c>
      <c r="F30" s="42">
        <f t="shared" si="5"/>
        <v>0</v>
      </c>
      <c r="G30" s="42">
        <f t="shared" si="5"/>
        <v>6290</v>
      </c>
    </row>
    <row r="31" spans="1:7" x14ac:dyDescent="0.25">
      <c r="A31" s="43" t="s">
        <v>99</v>
      </c>
      <c r="B31" s="44">
        <v>11000</v>
      </c>
      <c r="C31" s="38">
        <v>0</v>
      </c>
      <c r="D31" s="44">
        <f>B31-C31</f>
        <v>11000</v>
      </c>
      <c r="E31" s="61">
        <v>11000</v>
      </c>
      <c r="F31" s="44">
        <v>0</v>
      </c>
      <c r="G31" s="44">
        <f>E31*C7</f>
        <v>3740.0000000000005</v>
      </c>
    </row>
    <row r="32" spans="1:7" x14ac:dyDescent="0.25">
      <c r="A32" s="43" t="s">
        <v>100</v>
      </c>
      <c r="B32" s="44">
        <v>7500</v>
      </c>
      <c r="C32" s="38">
        <v>0</v>
      </c>
      <c r="D32" s="44">
        <f>B32-C32</f>
        <v>7500</v>
      </c>
      <c r="E32" s="61">
        <v>7500</v>
      </c>
      <c r="F32" s="44">
        <v>0</v>
      </c>
      <c r="G32" s="44">
        <f>E32*C7</f>
        <v>2550</v>
      </c>
    </row>
    <row r="33" spans="1:7" x14ac:dyDescent="0.25">
      <c r="A33" s="41" t="s">
        <v>27</v>
      </c>
      <c r="B33" s="42">
        <f t="shared" ref="B33:G33" si="6">SUM(B34:B39)</f>
        <v>115383.12501682549</v>
      </c>
      <c r="C33" s="42">
        <f t="shared" si="6"/>
        <v>51000</v>
      </c>
      <c r="D33" s="42">
        <f t="shared" si="6"/>
        <v>64383.125016825492</v>
      </c>
      <c r="E33" s="60">
        <f t="shared" si="6"/>
        <v>57383.125016825492</v>
      </c>
      <c r="F33" s="42">
        <f t="shared" si="6"/>
        <v>0</v>
      </c>
      <c r="G33" s="42">
        <f t="shared" si="6"/>
        <v>9174.2625057206678</v>
      </c>
    </row>
    <row r="34" spans="1:7" x14ac:dyDescent="0.25">
      <c r="A34" s="43" t="s">
        <v>101</v>
      </c>
      <c r="B34" s="44">
        <v>7000</v>
      </c>
      <c r="C34" s="38">
        <v>0</v>
      </c>
      <c r="D34" s="44">
        <f t="shared" ref="D34:D41" si="7">B34-C34</f>
        <v>7000</v>
      </c>
      <c r="E34" s="61">
        <v>0</v>
      </c>
      <c r="F34" s="44">
        <v>0</v>
      </c>
      <c r="G34" s="44">
        <v>0</v>
      </c>
    </row>
    <row r="35" spans="1:7" x14ac:dyDescent="0.25">
      <c r="A35" s="43" t="s">
        <v>102</v>
      </c>
      <c r="B35" s="44">
        <v>1700</v>
      </c>
      <c r="C35" s="38">
        <v>0</v>
      </c>
      <c r="D35" s="44">
        <f t="shared" si="7"/>
        <v>1700</v>
      </c>
      <c r="E35" s="61">
        <f>D35</f>
        <v>1700</v>
      </c>
      <c r="F35" s="44">
        <v>0</v>
      </c>
      <c r="G35" s="44">
        <f>E35*C7</f>
        <v>578</v>
      </c>
    </row>
    <row r="36" spans="1:7" x14ac:dyDescent="0.25">
      <c r="A36" s="43" t="s">
        <v>28</v>
      </c>
      <c r="B36" s="44">
        <v>16500</v>
      </c>
      <c r="C36" s="44">
        <f>[1]HT!B55-5000</f>
        <v>8000</v>
      </c>
      <c r="D36" s="44">
        <f t="shared" si="7"/>
        <v>8500</v>
      </c>
      <c r="E36" s="61">
        <f>D36</f>
        <v>8500</v>
      </c>
      <c r="F36" s="44">
        <v>0</v>
      </c>
      <c r="G36" s="44">
        <f>E36*C7</f>
        <v>2890</v>
      </c>
    </row>
    <row r="37" spans="1:7" x14ac:dyDescent="0.25">
      <c r="A37" s="43" t="s">
        <v>29</v>
      </c>
      <c r="B37" s="44">
        <v>57783.125016825492</v>
      </c>
      <c r="C37" s="44">
        <f>[1]HT!B56-20000+7000</f>
        <v>41000</v>
      </c>
      <c r="D37" s="44">
        <f t="shared" si="7"/>
        <v>16783.125016825492</v>
      </c>
      <c r="E37" s="61">
        <f>D37</f>
        <v>16783.125016825492</v>
      </c>
      <c r="F37" s="44">
        <v>0</v>
      </c>
      <c r="G37" s="44">
        <f>E37*C7</f>
        <v>5706.2625057206678</v>
      </c>
    </row>
    <row r="38" spans="1:7" x14ac:dyDescent="0.25">
      <c r="A38" s="43" t="s">
        <v>30</v>
      </c>
      <c r="B38" s="44">
        <v>2000</v>
      </c>
      <c r="C38" s="44">
        <f>[1]HT!B57-1000</f>
        <v>2000</v>
      </c>
      <c r="D38" s="44">
        <f t="shared" si="7"/>
        <v>0</v>
      </c>
      <c r="E38" s="61">
        <f>D38</f>
        <v>0</v>
      </c>
      <c r="F38" s="44">
        <v>0</v>
      </c>
      <c r="G38" s="44">
        <v>0</v>
      </c>
    </row>
    <row r="39" spans="1:7" x14ac:dyDescent="0.25">
      <c r="A39" s="43" t="s">
        <v>103</v>
      </c>
      <c r="B39" s="44">
        <v>30400</v>
      </c>
      <c r="C39" s="38">
        <v>0</v>
      </c>
      <c r="D39" s="44">
        <f t="shared" si="7"/>
        <v>30400</v>
      </c>
      <c r="E39" s="61">
        <f>D39</f>
        <v>30400</v>
      </c>
      <c r="F39" s="44">
        <v>0</v>
      </c>
      <c r="G39" s="44">
        <v>0</v>
      </c>
    </row>
    <row r="40" spans="1:7" x14ac:dyDescent="0.25">
      <c r="A40" s="41" t="s">
        <v>104</v>
      </c>
      <c r="B40" s="42">
        <f>SUM(B41)</f>
        <v>12000</v>
      </c>
      <c r="C40" s="42">
        <f>SUM(C41)</f>
        <v>0</v>
      </c>
      <c r="D40" s="44">
        <f t="shared" si="7"/>
        <v>12000</v>
      </c>
      <c r="E40" s="60">
        <f>SUM(E41)</f>
        <v>12000</v>
      </c>
      <c r="F40" s="42">
        <f>SUM(F41)</f>
        <v>0</v>
      </c>
      <c r="G40" s="42">
        <f>SUM(G41)</f>
        <v>0</v>
      </c>
    </row>
    <row r="41" spans="1:7" x14ac:dyDescent="0.25">
      <c r="A41" s="43" t="s">
        <v>28</v>
      </c>
      <c r="B41" s="44">
        <v>12000</v>
      </c>
      <c r="C41" s="38">
        <v>0</v>
      </c>
      <c r="D41" s="44">
        <f t="shared" si="7"/>
        <v>12000</v>
      </c>
      <c r="E41" s="61">
        <f>D41</f>
        <v>12000</v>
      </c>
      <c r="F41" s="44">
        <v>0</v>
      </c>
      <c r="G41" s="44">
        <v>0</v>
      </c>
    </row>
    <row r="42" spans="1:7" x14ac:dyDescent="0.25">
      <c r="A42" s="41" t="s">
        <v>105</v>
      </c>
      <c r="B42" s="42">
        <f t="shared" ref="B42:G42" si="8">SUM(B43)</f>
        <v>2000</v>
      </c>
      <c r="C42" s="42">
        <f t="shared" si="8"/>
        <v>2000</v>
      </c>
      <c r="D42" s="42">
        <f t="shared" si="8"/>
        <v>0</v>
      </c>
      <c r="E42" s="60">
        <f t="shared" si="8"/>
        <v>0</v>
      </c>
      <c r="F42" s="42">
        <f t="shared" si="8"/>
        <v>0</v>
      </c>
      <c r="G42" s="42">
        <f t="shared" si="8"/>
        <v>0</v>
      </c>
    </row>
    <row r="43" spans="1:7" x14ac:dyDescent="0.25">
      <c r="A43" s="43" t="s">
        <v>106</v>
      </c>
      <c r="B43" s="44">
        <v>2000</v>
      </c>
      <c r="C43" s="44">
        <f>[1]HT!B70</f>
        <v>2000</v>
      </c>
      <c r="D43" s="44">
        <f>B43-C43</f>
        <v>0</v>
      </c>
      <c r="E43" s="61">
        <f>D43</f>
        <v>0</v>
      </c>
      <c r="F43" s="44">
        <v>0</v>
      </c>
      <c r="G43" s="44">
        <v>0</v>
      </c>
    </row>
    <row r="44" spans="1:7" x14ac:dyDescent="0.25">
      <c r="A44" s="41" t="s">
        <v>40</v>
      </c>
      <c r="B44" s="42">
        <f t="shared" ref="B44:G44" si="9">B11+B15+B19+B23+B30+B33+B40+B42</f>
        <v>287415.30702754704</v>
      </c>
      <c r="C44" s="42">
        <f t="shared" si="9"/>
        <v>202520</v>
      </c>
      <c r="D44" s="42">
        <f t="shared" si="9"/>
        <v>84895.307027547009</v>
      </c>
      <c r="E44" s="60">
        <f t="shared" si="9"/>
        <v>77895.307027547009</v>
      </c>
      <c r="F44" s="42">
        <f t="shared" si="9"/>
        <v>6395.2719209674869</v>
      </c>
      <c r="G44" s="42">
        <f t="shared" si="9"/>
        <v>18504.47631033347</v>
      </c>
    </row>
    <row r="45" spans="1:7" x14ac:dyDescent="0.25">
      <c r="A45" s="48"/>
      <c r="B45" s="49"/>
    </row>
    <row r="46" spans="1:7" x14ac:dyDescent="0.25">
      <c r="A46" s="41" t="s">
        <v>41</v>
      </c>
      <c r="B46" s="44"/>
    </row>
    <row r="47" spans="1:7" x14ac:dyDescent="0.25">
      <c r="A47" s="41" t="s">
        <v>107</v>
      </c>
      <c r="B47" s="42">
        <f t="shared" ref="B47:G47" si="10">SUM(B48:B50)</f>
        <v>83171.309448221553</v>
      </c>
      <c r="C47" s="42">
        <f t="shared" si="10"/>
        <v>62000</v>
      </c>
      <c r="D47" s="42">
        <f t="shared" si="10"/>
        <v>-21171.30944822156</v>
      </c>
      <c r="E47" s="60">
        <f t="shared" si="10"/>
        <v>-21171.30944822156</v>
      </c>
      <c r="F47" s="42">
        <f t="shared" si="10"/>
        <v>-9859.5552781761544</v>
      </c>
      <c r="G47" s="42">
        <f t="shared" si="10"/>
        <v>2661.3100657808232</v>
      </c>
    </row>
    <row r="48" spans="1:7" x14ac:dyDescent="0.25">
      <c r="A48" s="43" t="s">
        <v>108</v>
      </c>
      <c r="B48" s="44">
        <v>33556.638687448998</v>
      </c>
      <c r="C48" s="44">
        <f>[1]HT!B83</f>
        <v>32000</v>
      </c>
      <c r="D48" s="44">
        <f>C48-B48</f>
        <v>-1556.6386874489981</v>
      </c>
      <c r="E48" s="61">
        <f>D48</f>
        <v>-1556.6386874489981</v>
      </c>
      <c r="F48" s="44">
        <f>E48*C7</f>
        <v>-529.25715373265939</v>
      </c>
      <c r="G48" s="44">
        <v>0</v>
      </c>
    </row>
    <row r="49" spans="1:7" x14ac:dyDescent="0.25">
      <c r="A49" s="43" t="s">
        <v>109</v>
      </c>
      <c r="B49" s="44">
        <v>27442.053307186747</v>
      </c>
      <c r="C49" s="38">
        <v>0</v>
      </c>
      <c r="D49" s="44">
        <f>C49-B49</f>
        <v>-27442.053307186747</v>
      </c>
      <c r="E49" s="61">
        <f>D49</f>
        <v>-27442.053307186747</v>
      </c>
      <c r="F49" s="44">
        <f>E49*C7</f>
        <v>-9330.2981244434941</v>
      </c>
      <c r="G49" s="44">
        <v>0</v>
      </c>
    </row>
    <row r="50" spans="1:7" x14ac:dyDescent="0.25">
      <c r="A50" s="43" t="s">
        <v>110</v>
      </c>
      <c r="B50" s="44">
        <v>22172.617453585815</v>
      </c>
      <c r="C50" s="44">
        <f>[1]HT!B84</f>
        <v>30000</v>
      </c>
      <c r="D50" s="44">
        <f>C50-B50</f>
        <v>7827.3825464141846</v>
      </c>
      <c r="E50" s="61">
        <f>D50</f>
        <v>7827.3825464141846</v>
      </c>
      <c r="F50" s="44">
        <v>0</v>
      </c>
      <c r="G50" s="44">
        <f>E50*C7</f>
        <v>2661.3100657808232</v>
      </c>
    </row>
    <row r="51" spans="1:7" x14ac:dyDescent="0.25">
      <c r="A51" s="41" t="s">
        <v>111</v>
      </c>
      <c r="B51" s="42">
        <f t="shared" ref="B51:G51" si="11">SUM(B52:B53)</f>
        <v>48310</v>
      </c>
      <c r="C51" s="42">
        <f t="shared" si="11"/>
        <v>43610</v>
      </c>
      <c r="D51" s="42">
        <f t="shared" si="11"/>
        <v>-4700</v>
      </c>
      <c r="E51" s="60">
        <f t="shared" si="11"/>
        <v>-4700</v>
      </c>
      <c r="F51" s="42">
        <f t="shared" si="11"/>
        <v>-1598.0000000000002</v>
      </c>
      <c r="G51" s="42">
        <f t="shared" si="11"/>
        <v>0</v>
      </c>
    </row>
    <row r="52" spans="1:7" x14ac:dyDescent="0.25">
      <c r="A52" s="43" t="s">
        <v>112</v>
      </c>
      <c r="B52" s="44">
        <v>36810</v>
      </c>
      <c r="C52" s="44">
        <f>[1]HT!B90</f>
        <v>36810</v>
      </c>
      <c r="D52" s="44">
        <f>C52-B52</f>
        <v>0</v>
      </c>
      <c r="E52" s="61">
        <f>D52</f>
        <v>0</v>
      </c>
      <c r="F52" s="44">
        <v>0</v>
      </c>
      <c r="G52" s="44">
        <v>0</v>
      </c>
    </row>
    <row r="53" spans="1:7" x14ac:dyDescent="0.25">
      <c r="A53" s="43" t="s">
        <v>49</v>
      </c>
      <c r="B53" s="44">
        <v>11500</v>
      </c>
      <c r="C53" s="44">
        <f>[1]HT!B93</f>
        <v>6800</v>
      </c>
      <c r="D53" s="44">
        <f>C53-B53</f>
        <v>-4700</v>
      </c>
      <c r="E53" s="61">
        <f>D53</f>
        <v>-4700</v>
      </c>
      <c r="F53" s="44">
        <f>E53*C7</f>
        <v>-1598.0000000000002</v>
      </c>
      <c r="G53" s="44">
        <v>0</v>
      </c>
    </row>
    <row r="54" spans="1:7" x14ac:dyDescent="0.25">
      <c r="A54" s="41" t="s">
        <v>113</v>
      </c>
      <c r="B54" s="42">
        <f t="shared" ref="B54:G54" si="12">SUM(B55:B56)</f>
        <v>3000</v>
      </c>
      <c r="C54" s="42">
        <f t="shared" si="12"/>
        <v>3000</v>
      </c>
      <c r="D54" s="42">
        <f t="shared" si="12"/>
        <v>0</v>
      </c>
      <c r="E54" s="60">
        <f t="shared" si="12"/>
        <v>0</v>
      </c>
      <c r="F54" s="42">
        <f t="shared" si="12"/>
        <v>0</v>
      </c>
      <c r="G54" s="42">
        <f t="shared" si="12"/>
        <v>0</v>
      </c>
    </row>
    <row r="55" spans="1:7" x14ac:dyDescent="0.25">
      <c r="A55" s="43" t="s">
        <v>51</v>
      </c>
      <c r="B55" s="44">
        <v>2900</v>
      </c>
      <c r="C55" s="44">
        <f>[1]HT!B98</f>
        <v>2900</v>
      </c>
      <c r="D55" s="44">
        <f>C55-B55</f>
        <v>0</v>
      </c>
      <c r="E55" s="61">
        <f>D55</f>
        <v>0</v>
      </c>
      <c r="F55" s="44">
        <v>0</v>
      </c>
      <c r="G55" s="44">
        <v>0</v>
      </c>
    </row>
    <row r="56" spans="1:7" x14ac:dyDescent="0.25">
      <c r="A56" s="43" t="s">
        <v>52</v>
      </c>
      <c r="B56" s="44">
        <v>100</v>
      </c>
      <c r="C56" s="44">
        <f>[1]HT!B99</f>
        <v>100</v>
      </c>
      <c r="D56" s="44">
        <f>C56-B56</f>
        <v>0</v>
      </c>
      <c r="E56" s="61">
        <f>D56</f>
        <v>0</v>
      </c>
      <c r="F56" s="44">
        <v>0</v>
      </c>
      <c r="G56" s="44">
        <v>0</v>
      </c>
    </row>
    <row r="57" spans="1:7" x14ac:dyDescent="0.25">
      <c r="A57" s="41" t="s">
        <v>114</v>
      </c>
      <c r="B57" s="42">
        <f t="shared" ref="B57:G57" si="13">SUM(B58:B60)</f>
        <v>17302.145796618457</v>
      </c>
      <c r="C57" s="42">
        <f t="shared" si="13"/>
        <v>11000</v>
      </c>
      <c r="D57" s="42">
        <f t="shared" si="13"/>
        <v>-6302.1457966184571</v>
      </c>
      <c r="E57" s="60">
        <f t="shared" si="13"/>
        <v>-6302.1457966184571</v>
      </c>
      <c r="F57" s="42">
        <f t="shared" si="13"/>
        <v>-2142.7295708502756</v>
      </c>
      <c r="G57" s="42">
        <f t="shared" si="13"/>
        <v>0</v>
      </c>
    </row>
    <row r="58" spans="1:7" x14ac:dyDescent="0.25">
      <c r="A58" s="43" t="s">
        <v>115</v>
      </c>
      <c r="B58" s="44">
        <v>6000</v>
      </c>
      <c r="C58" s="44">
        <f>[1]HT!B104</f>
        <v>6000</v>
      </c>
      <c r="D58" s="44">
        <f>C58-B58</f>
        <v>0</v>
      </c>
      <c r="E58" s="61">
        <f>D58</f>
        <v>0</v>
      </c>
      <c r="F58" s="44">
        <v>0</v>
      </c>
      <c r="G58" s="44">
        <v>0</v>
      </c>
    </row>
    <row r="59" spans="1:7" x14ac:dyDescent="0.25">
      <c r="A59" s="43" t="s">
        <v>116</v>
      </c>
      <c r="B59" s="44">
        <v>5000</v>
      </c>
      <c r="C59" s="44">
        <f>[1]HT!B105</f>
        <v>5000</v>
      </c>
      <c r="D59" s="44">
        <f>C59-B59</f>
        <v>0</v>
      </c>
      <c r="E59" s="61">
        <f>D59</f>
        <v>0</v>
      </c>
      <c r="F59" s="44">
        <v>0</v>
      </c>
      <c r="G59" s="44">
        <v>0</v>
      </c>
    </row>
    <row r="60" spans="1:7" x14ac:dyDescent="0.25">
      <c r="A60" s="43" t="s">
        <v>117</v>
      </c>
      <c r="B60" s="44">
        <v>6302.1457966184571</v>
      </c>
      <c r="C60" s="38">
        <v>0</v>
      </c>
      <c r="D60" s="44">
        <f>C60-B60</f>
        <v>-6302.1457966184571</v>
      </c>
      <c r="E60" s="61">
        <f>D60</f>
        <v>-6302.1457966184571</v>
      </c>
      <c r="F60" s="44">
        <f>E60*C7</f>
        <v>-2142.7295708502756</v>
      </c>
      <c r="G60" s="44">
        <v>0</v>
      </c>
    </row>
    <row r="61" spans="1:7" x14ac:dyDescent="0.25">
      <c r="A61" s="41" t="s">
        <v>118</v>
      </c>
      <c r="B61" s="42">
        <f t="shared" ref="B61:G61" si="14">SUM(B62)</f>
        <v>4799.3916211703918</v>
      </c>
      <c r="C61" s="42">
        <f t="shared" si="14"/>
        <v>0</v>
      </c>
      <c r="D61" s="42">
        <f t="shared" si="14"/>
        <v>-4799.3916211703918</v>
      </c>
      <c r="E61" s="60">
        <f t="shared" si="14"/>
        <v>0</v>
      </c>
      <c r="F61" s="42">
        <f t="shared" si="14"/>
        <v>0</v>
      </c>
      <c r="G61" s="42">
        <f t="shared" si="14"/>
        <v>0</v>
      </c>
    </row>
    <row r="62" spans="1:7" x14ac:dyDescent="0.25">
      <c r="A62" s="43" t="s">
        <v>119</v>
      </c>
      <c r="B62" s="44">
        <v>4799.3916211703918</v>
      </c>
      <c r="C62" s="38">
        <v>0</v>
      </c>
      <c r="D62" s="44">
        <f>C62-B62</f>
        <v>-4799.3916211703918</v>
      </c>
      <c r="E62" s="61">
        <v>0</v>
      </c>
      <c r="F62" s="44">
        <f>E62*C7</f>
        <v>0</v>
      </c>
      <c r="G62" s="44">
        <v>0</v>
      </c>
    </row>
    <row r="63" spans="1:7" x14ac:dyDescent="0.25">
      <c r="A63" s="41" t="s">
        <v>120</v>
      </c>
      <c r="B63" s="42">
        <f t="shared" ref="B63:G63" si="15">SUM(B64:B65)</f>
        <v>2604.640850913454</v>
      </c>
      <c r="C63" s="42">
        <f t="shared" si="15"/>
        <v>2000</v>
      </c>
      <c r="D63" s="42">
        <f t="shared" si="15"/>
        <v>-604.64085091345407</v>
      </c>
      <c r="E63" s="60">
        <f t="shared" si="15"/>
        <v>-604.64085091345407</v>
      </c>
      <c r="F63" s="42">
        <f t="shared" si="15"/>
        <v>-205.57788931057439</v>
      </c>
      <c r="G63" s="42">
        <f t="shared" si="15"/>
        <v>0</v>
      </c>
    </row>
    <row r="64" spans="1:7" x14ac:dyDescent="0.25">
      <c r="A64" s="43" t="s">
        <v>13</v>
      </c>
      <c r="B64" s="44">
        <v>604.64085091345407</v>
      </c>
      <c r="C64" s="38">
        <v>0</v>
      </c>
      <c r="D64" s="44">
        <f>C64-B64</f>
        <v>-604.64085091345407</v>
      </c>
      <c r="E64" s="61">
        <f>D64</f>
        <v>-604.64085091345407</v>
      </c>
      <c r="F64" s="44">
        <f>E64*C7</f>
        <v>-205.57788931057439</v>
      </c>
      <c r="G64" s="44">
        <v>0</v>
      </c>
    </row>
    <row r="65" spans="1:7" x14ac:dyDescent="0.25">
      <c r="A65" s="43" t="s">
        <v>121</v>
      </c>
      <c r="B65" s="44">
        <v>2000</v>
      </c>
      <c r="C65" s="44">
        <f>[1]HT!B117</f>
        <v>2000</v>
      </c>
      <c r="D65" s="44">
        <f>C65-B65</f>
        <v>0</v>
      </c>
      <c r="E65" s="61">
        <f>D65</f>
        <v>0</v>
      </c>
      <c r="F65" s="44">
        <v>0</v>
      </c>
      <c r="G65" s="44">
        <v>0</v>
      </c>
    </row>
    <row r="66" spans="1:7" x14ac:dyDescent="0.25">
      <c r="A66" s="41" t="s">
        <v>61</v>
      </c>
      <c r="B66" s="42">
        <f t="shared" ref="B66:G66" si="16">B47+B51+B54+B57+B61+B63</f>
        <v>159187.48771692385</v>
      </c>
      <c r="C66" s="42">
        <f t="shared" si="16"/>
        <v>121610</v>
      </c>
      <c r="D66" s="42">
        <f t="shared" si="16"/>
        <v>-37577.487716923868</v>
      </c>
      <c r="E66" s="60">
        <f t="shared" si="16"/>
        <v>-32778.09609575347</v>
      </c>
      <c r="F66" s="42">
        <f t="shared" si="16"/>
        <v>-13805.862738337004</v>
      </c>
      <c r="G66" s="42">
        <f t="shared" si="16"/>
        <v>2661.3100657808232</v>
      </c>
    </row>
    <row r="67" spans="1:7" ht="15.75" thickBot="1" x14ac:dyDescent="0.3">
      <c r="A67" s="43"/>
      <c r="B67" s="44"/>
      <c r="F67" s="50">
        <f>F44-F66</f>
        <v>20201.134659304491</v>
      </c>
      <c r="G67" s="50">
        <f>G44+G66</f>
        <v>21165.786376114294</v>
      </c>
    </row>
    <row r="68" spans="1:7" ht="15.75" thickTop="1" x14ac:dyDescent="0.25">
      <c r="B68" s="44"/>
    </row>
    <row r="69" spans="1:7" s="43" customFormat="1" ht="14.1" customHeight="1" x14ac:dyDescent="0.2">
      <c r="A69" s="51" t="s">
        <v>122</v>
      </c>
      <c r="B69" s="52"/>
      <c r="C69" s="52"/>
      <c r="D69" s="52"/>
      <c r="E69" s="62"/>
      <c r="F69" s="52"/>
      <c r="G69" s="52"/>
    </row>
    <row r="70" spans="1:7" s="43" customFormat="1" ht="14.1" customHeight="1" x14ac:dyDescent="0.2">
      <c r="A70" s="52"/>
      <c r="B70" s="53" t="s">
        <v>4</v>
      </c>
      <c r="C70" s="53" t="s">
        <v>41</v>
      </c>
      <c r="D70" s="52"/>
      <c r="E70" s="62"/>
    </row>
    <row r="71" spans="1:7" s="43" customFormat="1" ht="14.1" customHeight="1" x14ac:dyDescent="0.2">
      <c r="A71" s="52" t="s">
        <v>123</v>
      </c>
      <c r="B71" s="54">
        <f>F67</f>
        <v>20201.134659304491</v>
      </c>
      <c r="C71" s="54">
        <f>G67</f>
        <v>21165.786376114294</v>
      </c>
      <c r="D71" s="52"/>
      <c r="E71" s="62"/>
    </row>
    <row r="72" spans="1:7" s="43" customFormat="1" ht="14.1" customHeight="1" x14ac:dyDescent="0.2">
      <c r="A72" s="52" t="s">
        <v>124</v>
      </c>
      <c r="B72" s="55">
        <v>0</v>
      </c>
      <c r="C72" s="55">
        <v>2000</v>
      </c>
      <c r="D72" s="52"/>
      <c r="E72" s="62"/>
    </row>
    <row r="73" spans="1:7" s="43" customFormat="1" ht="14.1" customHeight="1" thickBot="1" x14ac:dyDescent="0.25">
      <c r="A73" s="51" t="s">
        <v>125</v>
      </c>
      <c r="B73" s="56">
        <f>B71-B72</f>
        <v>20201.134659304491</v>
      </c>
      <c r="C73" s="56">
        <f>C71-C72</f>
        <v>19165.786376114294</v>
      </c>
      <c r="D73" s="52"/>
      <c r="E73" s="62"/>
    </row>
    <row r="74" spans="1:7" s="43" customFormat="1" ht="14.1" customHeight="1" thickTop="1" x14ac:dyDescent="0.2">
      <c r="A74" s="52"/>
      <c r="B74" s="54"/>
      <c r="C74" s="54"/>
      <c r="D74" s="52"/>
      <c r="E74" s="62"/>
    </row>
    <row r="75" spans="1:7" s="43" customFormat="1" ht="14.1" customHeight="1" x14ac:dyDescent="0.2">
      <c r="A75" s="52"/>
      <c r="B75" s="54"/>
      <c r="C75" s="54"/>
      <c r="D75" s="52"/>
      <c r="E75" s="62"/>
    </row>
    <row r="76" spans="1:7" s="43" customFormat="1" ht="14.1" customHeight="1" x14ac:dyDescent="0.2">
      <c r="A76" s="52" t="s">
        <v>126</v>
      </c>
      <c r="B76" s="54">
        <f>B73</f>
        <v>20201.134659304491</v>
      </c>
      <c r="C76" s="54"/>
      <c r="D76" s="52"/>
      <c r="E76" s="62"/>
    </row>
    <row r="77" spans="1:7" s="43" customFormat="1" ht="14.1" customHeight="1" x14ac:dyDescent="0.2">
      <c r="A77" s="52" t="s">
        <v>127</v>
      </c>
      <c r="B77" s="54"/>
      <c r="C77" s="54">
        <f>C73</f>
        <v>19165.786376114294</v>
      </c>
      <c r="D77" s="52"/>
      <c r="E77" s="62"/>
    </row>
    <row r="78" spans="1:7" s="43" customFormat="1" ht="14.1" customHeight="1" x14ac:dyDescent="0.2">
      <c r="A78" s="52" t="s">
        <v>128</v>
      </c>
      <c r="B78" s="54"/>
      <c r="C78" s="54"/>
      <c r="D78" s="52"/>
      <c r="E78" s="62"/>
    </row>
    <row r="79" spans="1:7" s="43" customFormat="1" ht="14.1" customHeight="1" x14ac:dyDescent="0.2">
      <c r="A79" s="52" t="s">
        <v>129</v>
      </c>
      <c r="B79" s="54">
        <v>11385</v>
      </c>
      <c r="C79" s="54"/>
      <c r="D79" s="52"/>
      <c r="E79" s="62"/>
    </row>
    <row r="80" spans="1:7" s="43" customFormat="1" ht="14.1" customHeight="1" x14ac:dyDescent="0.2">
      <c r="A80" s="52" t="s">
        <v>130</v>
      </c>
      <c r="B80" s="54"/>
      <c r="C80" s="54">
        <f>B76+B79-C77</f>
        <v>12420.348283190197</v>
      </c>
      <c r="D80" s="52"/>
      <c r="E80" s="62"/>
    </row>
    <row r="81" spans="1:5" s="43" customFormat="1" ht="14.1" customHeight="1" thickBot="1" x14ac:dyDescent="0.25">
      <c r="A81" s="51" t="s">
        <v>131</v>
      </c>
      <c r="B81" s="57">
        <f>SUM(B76:B80)</f>
        <v>31586.134659304491</v>
      </c>
      <c r="C81" s="57">
        <f>SUM(C76:C80)</f>
        <v>31586.134659304491</v>
      </c>
      <c r="D81" s="51"/>
      <c r="E81" s="63"/>
    </row>
    <row r="82" spans="1:5" s="43" customFormat="1" ht="15" customHeight="1" thickTop="1" x14ac:dyDescent="0.2">
      <c r="E82" s="64"/>
    </row>
    <row r="83" spans="1:5" s="43" customFormat="1" ht="15" customHeight="1" x14ac:dyDescent="0.2">
      <c r="E83" s="64"/>
    </row>
    <row r="84" spans="1:5" s="43" customFormat="1" ht="12.75" x14ac:dyDescent="0.2">
      <c r="E84" s="64"/>
    </row>
    <row r="85" spans="1:5" s="43" customFormat="1" ht="12.75" x14ac:dyDescent="0.2">
      <c r="E85" s="64"/>
    </row>
  </sheetData>
  <mergeCells count="1">
    <mergeCell ref="F7:G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4"/>
  <sheetViews>
    <sheetView workbookViewId="0">
      <selection activeCell="B2" sqref="B2"/>
    </sheetView>
  </sheetViews>
  <sheetFormatPr baseColWidth="10" defaultRowHeight="15" x14ac:dyDescent="0.25"/>
  <cols>
    <col min="1" max="1" width="1.42578125" style="26" customWidth="1"/>
    <col min="2" max="2" width="45.7109375" style="26" customWidth="1"/>
    <col min="3" max="3" width="19.7109375" style="26" customWidth="1"/>
    <col min="4" max="6" width="11.42578125" style="26" bestFit="1" customWidth="1"/>
    <col min="7" max="255" width="11.42578125" style="26"/>
    <col min="256" max="256" width="1.42578125" style="26" customWidth="1"/>
    <col min="257" max="257" width="1.28515625" style="26" customWidth="1"/>
    <col min="258" max="258" width="34.28515625" style="26" customWidth="1"/>
    <col min="259" max="259" width="19.7109375" style="26" customWidth="1"/>
    <col min="260" max="262" width="11.42578125" style="26" bestFit="1" customWidth="1"/>
    <col min="263" max="511" width="11.42578125" style="26"/>
    <col min="512" max="512" width="1.42578125" style="26" customWidth="1"/>
    <col min="513" max="513" width="1.28515625" style="26" customWidth="1"/>
    <col min="514" max="514" width="34.28515625" style="26" customWidth="1"/>
    <col min="515" max="515" width="19.7109375" style="26" customWidth="1"/>
    <col min="516" max="518" width="11.42578125" style="26" bestFit="1" customWidth="1"/>
    <col min="519" max="767" width="11.42578125" style="26"/>
    <col min="768" max="768" width="1.42578125" style="26" customWidth="1"/>
    <col min="769" max="769" width="1.28515625" style="26" customWidth="1"/>
    <col min="770" max="770" width="34.28515625" style="26" customWidth="1"/>
    <col min="771" max="771" width="19.7109375" style="26" customWidth="1"/>
    <col min="772" max="774" width="11.42578125" style="26" bestFit="1" customWidth="1"/>
    <col min="775" max="1023" width="11.42578125" style="26"/>
    <col min="1024" max="1024" width="1.42578125" style="26" customWidth="1"/>
    <col min="1025" max="1025" width="1.28515625" style="26" customWidth="1"/>
    <col min="1026" max="1026" width="34.28515625" style="26" customWidth="1"/>
    <col min="1027" max="1027" width="19.7109375" style="26" customWidth="1"/>
    <col min="1028" max="1030" width="11.42578125" style="26" bestFit="1" customWidth="1"/>
    <col min="1031" max="1279" width="11.42578125" style="26"/>
    <col min="1280" max="1280" width="1.42578125" style="26" customWidth="1"/>
    <col min="1281" max="1281" width="1.28515625" style="26" customWidth="1"/>
    <col min="1282" max="1282" width="34.28515625" style="26" customWidth="1"/>
    <col min="1283" max="1283" width="19.7109375" style="26" customWidth="1"/>
    <col min="1284" max="1286" width="11.42578125" style="26" bestFit="1" customWidth="1"/>
    <col min="1287" max="1535" width="11.42578125" style="26"/>
    <col min="1536" max="1536" width="1.42578125" style="26" customWidth="1"/>
    <col min="1537" max="1537" width="1.28515625" style="26" customWidth="1"/>
    <col min="1538" max="1538" width="34.28515625" style="26" customWidth="1"/>
    <col min="1539" max="1539" width="19.7109375" style="26" customWidth="1"/>
    <col min="1540" max="1542" width="11.42578125" style="26" bestFit="1" customWidth="1"/>
    <col min="1543" max="1791" width="11.42578125" style="26"/>
    <col min="1792" max="1792" width="1.42578125" style="26" customWidth="1"/>
    <col min="1793" max="1793" width="1.28515625" style="26" customWidth="1"/>
    <col min="1794" max="1794" width="34.28515625" style="26" customWidth="1"/>
    <col min="1795" max="1795" width="19.7109375" style="26" customWidth="1"/>
    <col min="1796" max="1798" width="11.42578125" style="26" bestFit="1" customWidth="1"/>
    <col min="1799" max="2047" width="11.42578125" style="26"/>
    <col min="2048" max="2048" width="1.42578125" style="26" customWidth="1"/>
    <col min="2049" max="2049" width="1.28515625" style="26" customWidth="1"/>
    <col min="2050" max="2050" width="34.28515625" style="26" customWidth="1"/>
    <col min="2051" max="2051" width="19.7109375" style="26" customWidth="1"/>
    <col min="2052" max="2054" width="11.42578125" style="26" bestFit="1" customWidth="1"/>
    <col min="2055" max="2303" width="11.42578125" style="26"/>
    <col min="2304" max="2304" width="1.42578125" style="26" customWidth="1"/>
    <col min="2305" max="2305" width="1.28515625" style="26" customWidth="1"/>
    <col min="2306" max="2306" width="34.28515625" style="26" customWidth="1"/>
    <col min="2307" max="2307" width="19.7109375" style="26" customWidth="1"/>
    <col min="2308" max="2310" width="11.42578125" style="26" bestFit="1" customWidth="1"/>
    <col min="2311" max="2559" width="11.42578125" style="26"/>
    <col min="2560" max="2560" width="1.42578125" style="26" customWidth="1"/>
    <col min="2561" max="2561" width="1.28515625" style="26" customWidth="1"/>
    <col min="2562" max="2562" width="34.28515625" style="26" customWidth="1"/>
    <col min="2563" max="2563" width="19.7109375" style="26" customWidth="1"/>
    <col min="2564" max="2566" width="11.42578125" style="26" bestFit="1" customWidth="1"/>
    <col min="2567" max="2815" width="11.42578125" style="26"/>
    <col min="2816" max="2816" width="1.42578125" style="26" customWidth="1"/>
    <col min="2817" max="2817" width="1.28515625" style="26" customWidth="1"/>
    <col min="2818" max="2818" width="34.28515625" style="26" customWidth="1"/>
    <col min="2819" max="2819" width="19.7109375" style="26" customWidth="1"/>
    <col min="2820" max="2822" width="11.42578125" style="26" bestFit="1" customWidth="1"/>
    <col min="2823" max="3071" width="11.42578125" style="26"/>
    <col min="3072" max="3072" width="1.42578125" style="26" customWidth="1"/>
    <col min="3073" max="3073" width="1.28515625" style="26" customWidth="1"/>
    <col min="3074" max="3074" width="34.28515625" style="26" customWidth="1"/>
    <col min="3075" max="3075" width="19.7109375" style="26" customWidth="1"/>
    <col min="3076" max="3078" width="11.42578125" style="26" bestFit="1" customWidth="1"/>
    <col min="3079" max="3327" width="11.42578125" style="26"/>
    <col min="3328" max="3328" width="1.42578125" style="26" customWidth="1"/>
    <col min="3329" max="3329" width="1.28515625" style="26" customWidth="1"/>
    <col min="3330" max="3330" width="34.28515625" style="26" customWidth="1"/>
    <col min="3331" max="3331" width="19.7109375" style="26" customWidth="1"/>
    <col min="3332" max="3334" width="11.42578125" style="26" bestFit="1" customWidth="1"/>
    <col min="3335" max="3583" width="11.42578125" style="26"/>
    <col min="3584" max="3584" width="1.42578125" style="26" customWidth="1"/>
    <col min="3585" max="3585" width="1.28515625" style="26" customWidth="1"/>
    <col min="3586" max="3586" width="34.28515625" style="26" customWidth="1"/>
    <col min="3587" max="3587" width="19.7109375" style="26" customWidth="1"/>
    <col min="3588" max="3590" width="11.42578125" style="26" bestFit="1" customWidth="1"/>
    <col min="3591" max="3839" width="11.42578125" style="26"/>
    <col min="3840" max="3840" width="1.42578125" style="26" customWidth="1"/>
    <col min="3841" max="3841" width="1.28515625" style="26" customWidth="1"/>
    <col min="3842" max="3842" width="34.28515625" style="26" customWidth="1"/>
    <col min="3843" max="3843" width="19.7109375" style="26" customWidth="1"/>
    <col min="3844" max="3846" width="11.42578125" style="26" bestFit="1" customWidth="1"/>
    <col min="3847" max="4095" width="11.42578125" style="26"/>
    <col min="4096" max="4096" width="1.42578125" style="26" customWidth="1"/>
    <col min="4097" max="4097" width="1.28515625" style="26" customWidth="1"/>
    <col min="4098" max="4098" width="34.28515625" style="26" customWidth="1"/>
    <col min="4099" max="4099" width="19.7109375" style="26" customWidth="1"/>
    <col min="4100" max="4102" width="11.42578125" style="26" bestFit="1" customWidth="1"/>
    <col min="4103" max="4351" width="11.42578125" style="26"/>
    <col min="4352" max="4352" width="1.42578125" style="26" customWidth="1"/>
    <col min="4353" max="4353" width="1.28515625" style="26" customWidth="1"/>
    <col min="4354" max="4354" width="34.28515625" style="26" customWidth="1"/>
    <col min="4355" max="4355" width="19.7109375" style="26" customWidth="1"/>
    <col min="4356" max="4358" width="11.42578125" style="26" bestFit="1" customWidth="1"/>
    <col min="4359" max="4607" width="11.42578125" style="26"/>
    <col min="4608" max="4608" width="1.42578125" style="26" customWidth="1"/>
    <col min="4609" max="4609" width="1.28515625" style="26" customWidth="1"/>
    <col min="4610" max="4610" width="34.28515625" style="26" customWidth="1"/>
    <col min="4611" max="4611" width="19.7109375" style="26" customWidth="1"/>
    <col min="4612" max="4614" width="11.42578125" style="26" bestFit="1" customWidth="1"/>
    <col min="4615" max="4863" width="11.42578125" style="26"/>
    <col min="4864" max="4864" width="1.42578125" style="26" customWidth="1"/>
    <col min="4865" max="4865" width="1.28515625" style="26" customWidth="1"/>
    <col min="4866" max="4866" width="34.28515625" style="26" customWidth="1"/>
    <col min="4867" max="4867" width="19.7109375" style="26" customWidth="1"/>
    <col min="4868" max="4870" width="11.42578125" style="26" bestFit="1" customWidth="1"/>
    <col min="4871" max="5119" width="11.42578125" style="26"/>
    <col min="5120" max="5120" width="1.42578125" style="26" customWidth="1"/>
    <col min="5121" max="5121" width="1.28515625" style="26" customWidth="1"/>
    <col min="5122" max="5122" width="34.28515625" style="26" customWidth="1"/>
    <col min="5123" max="5123" width="19.7109375" style="26" customWidth="1"/>
    <col min="5124" max="5126" width="11.42578125" style="26" bestFit="1" customWidth="1"/>
    <col min="5127" max="5375" width="11.42578125" style="26"/>
    <col min="5376" max="5376" width="1.42578125" style="26" customWidth="1"/>
    <col min="5377" max="5377" width="1.28515625" style="26" customWidth="1"/>
    <col min="5378" max="5378" width="34.28515625" style="26" customWidth="1"/>
    <col min="5379" max="5379" width="19.7109375" style="26" customWidth="1"/>
    <col min="5380" max="5382" width="11.42578125" style="26" bestFit="1" customWidth="1"/>
    <col min="5383" max="5631" width="11.42578125" style="26"/>
    <col min="5632" max="5632" width="1.42578125" style="26" customWidth="1"/>
    <col min="5633" max="5633" width="1.28515625" style="26" customWidth="1"/>
    <col min="5634" max="5634" width="34.28515625" style="26" customWidth="1"/>
    <col min="5635" max="5635" width="19.7109375" style="26" customWidth="1"/>
    <col min="5636" max="5638" width="11.42578125" style="26" bestFit="1" customWidth="1"/>
    <col min="5639" max="5887" width="11.42578125" style="26"/>
    <col min="5888" max="5888" width="1.42578125" style="26" customWidth="1"/>
    <col min="5889" max="5889" width="1.28515625" style="26" customWidth="1"/>
    <col min="5890" max="5890" width="34.28515625" style="26" customWidth="1"/>
    <col min="5891" max="5891" width="19.7109375" style="26" customWidth="1"/>
    <col min="5892" max="5894" width="11.42578125" style="26" bestFit="1" customWidth="1"/>
    <col min="5895" max="6143" width="11.42578125" style="26"/>
    <col min="6144" max="6144" width="1.42578125" style="26" customWidth="1"/>
    <col min="6145" max="6145" width="1.28515625" style="26" customWidth="1"/>
    <col min="6146" max="6146" width="34.28515625" style="26" customWidth="1"/>
    <col min="6147" max="6147" width="19.7109375" style="26" customWidth="1"/>
    <col min="6148" max="6150" width="11.42578125" style="26" bestFit="1" customWidth="1"/>
    <col min="6151" max="6399" width="11.42578125" style="26"/>
    <col min="6400" max="6400" width="1.42578125" style="26" customWidth="1"/>
    <col min="6401" max="6401" width="1.28515625" style="26" customWidth="1"/>
    <col min="6402" max="6402" width="34.28515625" style="26" customWidth="1"/>
    <col min="6403" max="6403" width="19.7109375" style="26" customWidth="1"/>
    <col min="6404" max="6406" width="11.42578125" style="26" bestFit="1" customWidth="1"/>
    <col min="6407" max="6655" width="11.42578125" style="26"/>
    <col min="6656" max="6656" width="1.42578125" style="26" customWidth="1"/>
    <col min="6657" max="6657" width="1.28515625" style="26" customWidth="1"/>
    <col min="6658" max="6658" width="34.28515625" style="26" customWidth="1"/>
    <col min="6659" max="6659" width="19.7109375" style="26" customWidth="1"/>
    <col min="6660" max="6662" width="11.42578125" style="26" bestFit="1" customWidth="1"/>
    <col min="6663" max="6911" width="11.42578125" style="26"/>
    <col min="6912" max="6912" width="1.42578125" style="26" customWidth="1"/>
    <col min="6913" max="6913" width="1.28515625" style="26" customWidth="1"/>
    <col min="6914" max="6914" width="34.28515625" style="26" customWidth="1"/>
    <col min="6915" max="6915" width="19.7109375" style="26" customWidth="1"/>
    <col min="6916" max="6918" width="11.42578125" style="26" bestFit="1" customWidth="1"/>
    <col min="6919" max="7167" width="11.42578125" style="26"/>
    <col min="7168" max="7168" width="1.42578125" style="26" customWidth="1"/>
    <col min="7169" max="7169" width="1.28515625" style="26" customWidth="1"/>
    <col min="7170" max="7170" width="34.28515625" style="26" customWidth="1"/>
    <col min="7171" max="7171" width="19.7109375" style="26" customWidth="1"/>
    <col min="7172" max="7174" width="11.42578125" style="26" bestFit="1" customWidth="1"/>
    <col min="7175" max="7423" width="11.42578125" style="26"/>
    <col min="7424" max="7424" width="1.42578125" style="26" customWidth="1"/>
    <col min="7425" max="7425" width="1.28515625" style="26" customWidth="1"/>
    <col min="7426" max="7426" width="34.28515625" style="26" customWidth="1"/>
    <col min="7427" max="7427" width="19.7109375" style="26" customWidth="1"/>
    <col min="7428" max="7430" width="11.42578125" style="26" bestFit="1" customWidth="1"/>
    <col min="7431" max="7679" width="11.42578125" style="26"/>
    <col min="7680" max="7680" width="1.42578125" style="26" customWidth="1"/>
    <col min="7681" max="7681" width="1.28515625" style="26" customWidth="1"/>
    <col min="7682" max="7682" width="34.28515625" style="26" customWidth="1"/>
    <col min="7683" max="7683" width="19.7109375" style="26" customWidth="1"/>
    <col min="7684" max="7686" width="11.42578125" style="26" bestFit="1" customWidth="1"/>
    <col min="7687" max="7935" width="11.42578125" style="26"/>
    <col min="7936" max="7936" width="1.42578125" style="26" customWidth="1"/>
    <col min="7937" max="7937" width="1.28515625" style="26" customWidth="1"/>
    <col min="7938" max="7938" width="34.28515625" style="26" customWidth="1"/>
    <col min="7939" max="7939" width="19.7109375" style="26" customWidth="1"/>
    <col min="7940" max="7942" width="11.42578125" style="26" bestFit="1" customWidth="1"/>
    <col min="7943" max="8191" width="11.42578125" style="26"/>
    <col min="8192" max="8192" width="1.42578125" style="26" customWidth="1"/>
    <col min="8193" max="8193" width="1.28515625" style="26" customWidth="1"/>
    <col min="8194" max="8194" width="34.28515625" style="26" customWidth="1"/>
    <col min="8195" max="8195" width="19.7109375" style="26" customWidth="1"/>
    <col min="8196" max="8198" width="11.42578125" style="26" bestFit="1" customWidth="1"/>
    <col min="8199" max="8447" width="11.42578125" style="26"/>
    <col min="8448" max="8448" width="1.42578125" style="26" customWidth="1"/>
    <col min="8449" max="8449" width="1.28515625" style="26" customWidth="1"/>
    <col min="8450" max="8450" width="34.28515625" style="26" customWidth="1"/>
    <col min="8451" max="8451" width="19.7109375" style="26" customWidth="1"/>
    <col min="8452" max="8454" width="11.42578125" style="26" bestFit="1" customWidth="1"/>
    <col min="8455" max="8703" width="11.42578125" style="26"/>
    <col min="8704" max="8704" width="1.42578125" style="26" customWidth="1"/>
    <col min="8705" max="8705" width="1.28515625" style="26" customWidth="1"/>
    <col min="8706" max="8706" width="34.28515625" style="26" customWidth="1"/>
    <col min="8707" max="8707" width="19.7109375" style="26" customWidth="1"/>
    <col min="8708" max="8710" width="11.42578125" style="26" bestFit="1" customWidth="1"/>
    <col min="8711" max="8959" width="11.42578125" style="26"/>
    <col min="8960" max="8960" width="1.42578125" style="26" customWidth="1"/>
    <col min="8961" max="8961" width="1.28515625" style="26" customWidth="1"/>
    <col min="8962" max="8962" width="34.28515625" style="26" customWidth="1"/>
    <col min="8963" max="8963" width="19.7109375" style="26" customWidth="1"/>
    <col min="8964" max="8966" width="11.42578125" style="26" bestFit="1" customWidth="1"/>
    <col min="8967" max="9215" width="11.42578125" style="26"/>
    <col min="9216" max="9216" width="1.42578125" style="26" customWidth="1"/>
    <col min="9217" max="9217" width="1.28515625" style="26" customWidth="1"/>
    <col min="9218" max="9218" width="34.28515625" style="26" customWidth="1"/>
    <col min="9219" max="9219" width="19.7109375" style="26" customWidth="1"/>
    <col min="9220" max="9222" width="11.42578125" style="26" bestFit="1" customWidth="1"/>
    <col min="9223" max="9471" width="11.42578125" style="26"/>
    <col min="9472" max="9472" width="1.42578125" style="26" customWidth="1"/>
    <col min="9473" max="9473" width="1.28515625" style="26" customWidth="1"/>
    <col min="9474" max="9474" width="34.28515625" style="26" customWidth="1"/>
    <col min="9475" max="9475" width="19.7109375" style="26" customWidth="1"/>
    <col min="9476" max="9478" width="11.42578125" style="26" bestFit="1" customWidth="1"/>
    <col min="9479" max="9727" width="11.42578125" style="26"/>
    <col min="9728" max="9728" width="1.42578125" style="26" customWidth="1"/>
    <col min="9729" max="9729" width="1.28515625" style="26" customWidth="1"/>
    <col min="9730" max="9730" width="34.28515625" style="26" customWidth="1"/>
    <col min="9731" max="9731" width="19.7109375" style="26" customWidth="1"/>
    <col min="9732" max="9734" width="11.42578125" style="26" bestFit="1" customWidth="1"/>
    <col min="9735" max="9983" width="11.42578125" style="26"/>
    <col min="9984" max="9984" width="1.42578125" style="26" customWidth="1"/>
    <col min="9985" max="9985" width="1.28515625" style="26" customWidth="1"/>
    <col min="9986" max="9986" width="34.28515625" style="26" customWidth="1"/>
    <col min="9987" max="9987" width="19.7109375" style="26" customWidth="1"/>
    <col min="9988" max="9990" width="11.42578125" style="26" bestFit="1" customWidth="1"/>
    <col min="9991" max="10239" width="11.42578125" style="26"/>
    <col min="10240" max="10240" width="1.42578125" style="26" customWidth="1"/>
    <col min="10241" max="10241" width="1.28515625" style="26" customWidth="1"/>
    <col min="10242" max="10242" width="34.28515625" style="26" customWidth="1"/>
    <col min="10243" max="10243" width="19.7109375" style="26" customWidth="1"/>
    <col min="10244" max="10246" width="11.42578125" style="26" bestFit="1" customWidth="1"/>
    <col min="10247" max="10495" width="11.42578125" style="26"/>
    <col min="10496" max="10496" width="1.42578125" style="26" customWidth="1"/>
    <col min="10497" max="10497" width="1.28515625" style="26" customWidth="1"/>
    <col min="10498" max="10498" width="34.28515625" style="26" customWidth="1"/>
    <col min="10499" max="10499" width="19.7109375" style="26" customWidth="1"/>
    <col min="10500" max="10502" width="11.42578125" style="26" bestFit="1" customWidth="1"/>
    <col min="10503" max="10751" width="11.42578125" style="26"/>
    <col min="10752" max="10752" width="1.42578125" style="26" customWidth="1"/>
    <col min="10753" max="10753" width="1.28515625" style="26" customWidth="1"/>
    <col min="10754" max="10754" width="34.28515625" style="26" customWidth="1"/>
    <col min="10755" max="10755" width="19.7109375" style="26" customWidth="1"/>
    <col min="10756" max="10758" width="11.42578125" style="26" bestFit="1" customWidth="1"/>
    <col min="10759" max="11007" width="11.42578125" style="26"/>
    <col min="11008" max="11008" width="1.42578125" style="26" customWidth="1"/>
    <col min="11009" max="11009" width="1.28515625" style="26" customWidth="1"/>
    <col min="11010" max="11010" width="34.28515625" style="26" customWidth="1"/>
    <col min="11011" max="11011" width="19.7109375" style="26" customWidth="1"/>
    <col min="11012" max="11014" width="11.42578125" style="26" bestFit="1" customWidth="1"/>
    <col min="11015" max="11263" width="11.42578125" style="26"/>
    <col min="11264" max="11264" width="1.42578125" style="26" customWidth="1"/>
    <col min="11265" max="11265" width="1.28515625" style="26" customWidth="1"/>
    <col min="11266" max="11266" width="34.28515625" style="26" customWidth="1"/>
    <col min="11267" max="11267" width="19.7109375" style="26" customWidth="1"/>
    <col min="11268" max="11270" width="11.42578125" style="26" bestFit="1" customWidth="1"/>
    <col min="11271" max="11519" width="11.42578125" style="26"/>
    <col min="11520" max="11520" width="1.42578125" style="26" customWidth="1"/>
    <col min="11521" max="11521" width="1.28515625" style="26" customWidth="1"/>
    <col min="11522" max="11522" width="34.28515625" style="26" customWidth="1"/>
    <col min="11523" max="11523" width="19.7109375" style="26" customWidth="1"/>
    <col min="11524" max="11526" width="11.42578125" style="26" bestFit="1" customWidth="1"/>
    <col min="11527" max="11775" width="11.42578125" style="26"/>
    <col min="11776" max="11776" width="1.42578125" style="26" customWidth="1"/>
    <col min="11777" max="11777" width="1.28515625" style="26" customWidth="1"/>
    <col min="11778" max="11778" width="34.28515625" style="26" customWidth="1"/>
    <col min="11779" max="11779" width="19.7109375" style="26" customWidth="1"/>
    <col min="11780" max="11782" width="11.42578125" style="26" bestFit="1" customWidth="1"/>
    <col min="11783" max="12031" width="11.42578125" style="26"/>
    <col min="12032" max="12032" width="1.42578125" style="26" customWidth="1"/>
    <col min="12033" max="12033" width="1.28515625" style="26" customWidth="1"/>
    <col min="12034" max="12034" width="34.28515625" style="26" customWidth="1"/>
    <col min="12035" max="12035" width="19.7109375" style="26" customWidth="1"/>
    <col min="12036" max="12038" width="11.42578125" style="26" bestFit="1" customWidth="1"/>
    <col min="12039" max="12287" width="11.42578125" style="26"/>
    <col min="12288" max="12288" width="1.42578125" style="26" customWidth="1"/>
    <col min="12289" max="12289" width="1.28515625" style="26" customWidth="1"/>
    <col min="12290" max="12290" width="34.28515625" style="26" customWidth="1"/>
    <col min="12291" max="12291" width="19.7109375" style="26" customWidth="1"/>
    <col min="12292" max="12294" width="11.42578125" style="26" bestFit="1" customWidth="1"/>
    <col min="12295" max="12543" width="11.42578125" style="26"/>
    <col min="12544" max="12544" width="1.42578125" style="26" customWidth="1"/>
    <col min="12545" max="12545" width="1.28515625" style="26" customWidth="1"/>
    <col min="12546" max="12546" width="34.28515625" style="26" customWidth="1"/>
    <col min="12547" max="12547" width="19.7109375" style="26" customWidth="1"/>
    <col min="12548" max="12550" width="11.42578125" style="26" bestFit="1" customWidth="1"/>
    <col min="12551" max="12799" width="11.42578125" style="26"/>
    <col min="12800" max="12800" width="1.42578125" style="26" customWidth="1"/>
    <col min="12801" max="12801" width="1.28515625" style="26" customWidth="1"/>
    <col min="12802" max="12802" width="34.28515625" style="26" customWidth="1"/>
    <col min="12803" max="12803" width="19.7109375" style="26" customWidth="1"/>
    <col min="12804" max="12806" width="11.42578125" style="26" bestFit="1" customWidth="1"/>
    <col min="12807" max="13055" width="11.42578125" style="26"/>
    <col min="13056" max="13056" width="1.42578125" style="26" customWidth="1"/>
    <col min="13057" max="13057" width="1.28515625" style="26" customWidth="1"/>
    <col min="13058" max="13058" width="34.28515625" style="26" customWidth="1"/>
    <col min="13059" max="13059" width="19.7109375" style="26" customWidth="1"/>
    <col min="13060" max="13062" width="11.42578125" style="26" bestFit="1" customWidth="1"/>
    <col min="13063" max="13311" width="11.42578125" style="26"/>
    <col min="13312" max="13312" width="1.42578125" style="26" customWidth="1"/>
    <col min="13313" max="13313" width="1.28515625" style="26" customWidth="1"/>
    <col min="13314" max="13314" width="34.28515625" style="26" customWidth="1"/>
    <col min="13315" max="13315" width="19.7109375" style="26" customWidth="1"/>
    <col min="13316" max="13318" width="11.42578125" style="26" bestFit="1" customWidth="1"/>
    <col min="13319" max="13567" width="11.42578125" style="26"/>
    <col min="13568" max="13568" width="1.42578125" style="26" customWidth="1"/>
    <col min="13569" max="13569" width="1.28515625" style="26" customWidth="1"/>
    <col min="13570" max="13570" width="34.28515625" style="26" customWidth="1"/>
    <col min="13571" max="13571" width="19.7109375" style="26" customWidth="1"/>
    <col min="13572" max="13574" width="11.42578125" style="26" bestFit="1" customWidth="1"/>
    <col min="13575" max="13823" width="11.42578125" style="26"/>
    <col min="13824" max="13824" width="1.42578125" style="26" customWidth="1"/>
    <col min="13825" max="13825" width="1.28515625" style="26" customWidth="1"/>
    <col min="13826" max="13826" width="34.28515625" style="26" customWidth="1"/>
    <col min="13827" max="13827" width="19.7109375" style="26" customWidth="1"/>
    <col min="13828" max="13830" width="11.42578125" style="26" bestFit="1" customWidth="1"/>
    <col min="13831" max="14079" width="11.42578125" style="26"/>
    <col min="14080" max="14080" width="1.42578125" style="26" customWidth="1"/>
    <col min="14081" max="14081" width="1.28515625" style="26" customWidth="1"/>
    <col min="14082" max="14082" width="34.28515625" style="26" customWidth="1"/>
    <col min="14083" max="14083" width="19.7109375" style="26" customWidth="1"/>
    <col min="14084" max="14086" width="11.42578125" style="26" bestFit="1" customWidth="1"/>
    <col min="14087" max="14335" width="11.42578125" style="26"/>
    <col min="14336" max="14336" width="1.42578125" style="26" customWidth="1"/>
    <col min="14337" max="14337" width="1.28515625" style="26" customWidth="1"/>
    <col min="14338" max="14338" width="34.28515625" style="26" customWidth="1"/>
    <col min="14339" max="14339" width="19.7109375" style="26" customWidth="1"/>
    <col min="14340" max="14342" width="11.42578125" style="26" bestFit="1" customWidth="1"/>
    <col min="14343" max="14591" width="11.42578125" style="26"/>
    <col min="14592" max="14592" width="1.42578125" style="26" customWidth="1"/>
    <col min="14593" max="14593" width="1.28515625" style="26" customWidth="1"/>
    <col min="14594" max="14594" width="34.28515625" style="26" customWidth="1"/>
    <col min="14595" max="14595" width="19.7109375" style="26" customWidth="1"/>
    <col min="14596" max="14598" width="11.42578125" style="26" bestFit="1" customWidth="1"/>
    <col min="14599" max="14847" width="11.42578125" style="26"/>
    <col min="14848" max="14848" width="1.42578125" style="26" customWidth="1"/>
    <col min="14849" max="14849" width="1.28515625" style="26" customWidth="1"/>
    <col min="14850" max="14850" width="34.28515625" style="26" customWidth="1"/>
    <col min="14851" max="14851" width="19.7109375" style="26" customWidth="1"/>
    <col min="14852" max="14854" width="11.42578125" style="26" bestFit="1" customWidth="1"/>
    <col min="14855" max="15103" width="11.42578125" style="26"/>
    <col min="15104" max="15104" width="1.42578125" style="26" customWidth="1"/>
    <col min="15105" max="15105" width="1.28515625" style="26" customWidth="1"/>
    <col min="15106" max="15106" width="34.28515625" style="26" customWidth="1"/>
    <col min="15107" max="15107" width="19.7109375" style="26" customWidth="1"/>
    <col min="15108" max="15110" width="11.42578125" style="26" bestFit="1" customWidth="1"/>
    <col min="15111" max="15359" width="11.42578125" style="26"/>
    <col min="15360" max="15360" width="1.42578125" style="26" customWidth="1"/>
    <col min="15361" max="15361" width="1.28515625" style="26" customWidth="1"/>
    <col min="15362" max="15362" width="34.28515625" style="26" customWidth="1"/>
    <col min="15363" max="15363" width="19.7109375" style="26" customWidth="1"/>
    <col min="15364" max="15366" width="11.42578125" style="26" bestFit="1" customWidth="1"/>
    <col min="15367" max="15615" width="11.42578125" style="26"/>
    <col min="15616" max="15616" width="1.42578125" style="26" customWidth="1"/>
    <col min="15617" max="15617" width="1.28515625" style="26" customWidth="1"/>
    <col min="15618" max="15618" width="34.28515625" style="26" customWidth="1"/>
    <col min="15619" max="15619" width="19.7109375" style="26" customWidth="1"/>
    <col min="15620" max="15622" width="11.42578125" style="26" bestFit="1" customWidth="1"/>
    <col min="15623" max="15871" width="11.42578125" style="26"/>
    <col min="15872" max="15872" width="1.42578125" style="26" customWidth="1"/>
    <col min="15873" max="15873" width="1.28515625" style="26" customWidth="1"/>
    <col min="15874" max="15874" width="34.28515625" style="26" customWidth="1"/>
    <col min="15875" max="15875" width="19.7109375" style="26" customWidth="1"/>
    <col min="15876" max="15878" width="11.42578125" style="26" bestFit="1" customWidth="1"/>
    <col min="15879" max="16127" width="11.42578125" style="26"/>
    <col min="16128" max="16128" width="1.42578125" style="26" customWidth="1"/>
    <col min="16129" max="16129" width="1.28515625" style="26" customWidth="1"/>
    <col min="16130" max="16130" width="34.28515625" style="26" customWidth="1"/>
    <col min="16131" max="16131" width="19.7109375" style="26" customWidth="1"/>
    <col min="16132" max="16134" width="11.42578125" style="26" bestFit="1" customWidth="1"/>
    <col min="16135" max="16384" width="11.42578125" style="26"/>
  </cols>
  <sheetData>
    <row r="1" spans="2:6" x14ac:dyDescent="0.25">
      <c r="B1" s="27" t="s">
        <v>0</v>
      </c>
    </row>
    <row r="2" spans="2:6" x14ac:dyDescent="0.25">
      <c r="B2" s="27" t="s">
        <v>73</v>
      </c>
    </row>
    <row r="3" spans="2:6" x14ac:dyDescent="0.25">
      <c r="B3" s="27" t="s">
        <v>81</v>
      </c>
    </row>
    <row r="4" spans="2:6" x14ac:dyDescent="0.25">
      <c r="B4" s="27" t="s">
        <v>3</v>
      </c>
    </row>
    <row r="5" spans="2:6" x14ac:dyDescent="0.25">
      <c r="B5" s="27"/>
      <c r="D5" s="159" t="s">
        <v>74</v>
      </c>
      <c r="E5" s="159"/>
    </row>
    <row r="6" spans="2:6" x14ac:dyDescent="0.25">
      <c r="B6" s="28" t="s">
        <v>75</v>
      </c>
      <c r="C6" s="29" t="s">
        <v>76</v>
      </c>
      <c r="D6" s="30" t="s">
        <v>77</v>
      </c>
      <c r="E6" s="30" t="s">
        <v>78</v>
      </c>
      <c r="F6" s="30" t="s">
        <v>79</v>
      </c>
    </row>
    <row r="7" spans="2:6" x14ac:dyDescent="0.25">
      <c r="B7" s="33" t="s">
        <v>5</v>
      </c>
      <c r="C7" s="32">
        <f>SUM(C8:C10)</f>
        <v>5950</v>
      </c>
      <c r="D7" s="32">
        <f t="shared" ref="D7:F7" si="0">SUM(D8:D10)</f>
        <v>0</v>
      </c>
      <c r="E7" s="32">
        <f t="shared" si="0"/>
        <v>5950</v>
      </c>
      <c r="F7" s="32">
        <f t="shared" si="0"/>
        <v>0</v>
      </c>
    </row>
    <row r="8" spans="2:6" x14ac:dyDescent="0.25">
      <c r="B8" s="34" t="s">
        <v>6</v>
      </c>
      <c r="C8" s="31">
        <f>+'Bce prueba local'!D8</f>
        <v>950</v>
      </c>
      <c r="E8" s="26">
        <f>+Efectivo!C18</f>
        <v>950</v>
      </c>
      <c r="F8" s="26">
        <f>+C8+D8-E8</f>
        <v>0</v>
      </c>
    </row>
    <row r="9" spans="2:6" x14ac:dyDescent="0.25">
      <c r="B9" s="34" t="s">
        <v>7</v>
      </c>
      <c r="C9" s="31">
        <f>+'Bce prueba local'!D9</f>
        <v>2600</v>
      </c>
      <c r="E9" s="26">
        <f>+Efectivo!C19</f>
        <v>2600</v>
      </c>
      <c r="F9" s="26">
        <f t="shared" ref="F9:F10" si="1">+C9+D9-E9</f>
        <v>0</v>
      </c>
    </row>
    <row r="10" spans="2:6" x14ac:dyDescent="0.25">
      <c r="B10" s="34" t="s">
        <v>8</v>
      </c>
      <c r="C10" s="31">
        <f>+'Bce prueba local'!D10</f>
        <v>2400</v>
      </c>
      <c r="E10" s="26">
        <f>+Efectivo!C20</f>
        <v>2400</v>
      </c>
      <c r="F10" s="26">
        <f t="shared" si="1"/>
        <v>0</v>
      </c>
    </row>
    <row r="11" spans="2:6" x14ac:dyDescent="0.25">
      <c r="B11" s="34"/>
      <c r="C11" s="31"/>
    </row>
    <row r="12" spans="2:6" x14ac:dyDescent="0.25">
      <c r="B12" s="33" t="s">
        <v>144</v>
      </c>
      <c r="C12" s="31"/>
      <c r="D12" s="27">
        <f>SUM(D13:D15)</f>
        <v>5950</v>
      </c>
      <c r="F12" s="27">
        <f>SUM(F13:F15)</f>
        <v>5950</v>
      </c>
    </row>
    <row r="13" spans="2:6" x14ac:dyDescent="0.25">
      <c r="B13" s="34" t="s">
        <v>6</v>
      </c>
      <c r="C13" s="31"/>
      <c r="D13" s="26">
        <f>+Efectivo!C13</f>
        <v>950</v>
      </c>
      <c r="E13" s="26">
        <v>0</v>
      </c>
      <c r="F13" s="26">
        <f>+C13+D13-E13</f>
        <v>950</v>
      </c>
    </row>
    <row r="14" spans="2:6" x14ac:dyDescent="0.25">
      <c r="B14" s="34" t="s">
        <v>7</v>
      </c>
      <c r="C14" s="31"/>
      <c r="D14" s="26">
        <f>+Efectivo!C14</f>
        <v>2600</v>
      </c>
      <c r="F14" s="26">
        <f t="shared" ref="F14:F15" si="2">+C14+D14-E14</f>
        <v>2600</v>
      </c>
    </row>
    <row r="15" spans="2:6" x14ac:dyDescent="0.25">
      <c r="B15" s="34" t="s">
        <v>8</v>
      </c>
      <c r="C15" s="31"/>
      <c r="D15" s="26">
        <f>+Efectivo!C15</f>
        <v>2400</v>
      </c>
      <c r="F15" s="26">
        <f t="shared" si="2"/>
        <v>2400</v>
      </c>
    </row>
    <row r="16" spans="2:6" x14ac:dyDescent="0.25">
      <c r="B16" s="34"/>
      <c r="C16" s="31"/>
    </row>
    <row r="17" spans="2:6" x14ac:dyDescent="0.25">
      <c r="B17" s="35" t="s">
        <v>9</v>
      </c>
      <c r="C17" s="32">
        <f>SUM(C18:C20)</f>
        <v>26550</v>
      </c>
      <c r="D17" s="32">
        <f t="shared" ref="D17:F17" si="3">SUM(D18:D20)</f>
        <v>0</v>
      </c>
      <c r="E17" s="32">
        <f t="shared" si="3"/>
        <v>26550</v>
      </c>
      <c r="F17" s="32">
        <f t="shared" si="3"/>
        <v>0</v>
      </c>
    </row>
    <row r="18" spans="2:6" x14ac:dyDescent="0.25">
      <c r="B18" s="34" t="s">
        <v>132</v>
      </c>
      <c r="C18" s="31">
        <f>+'Bce prueba local'!D12</f>
        <v>5150</v>
      </c>
      <c r="E18" s="26">
        <f>+IP!E20+IP!E21+IP!E24</f>
        <v>5150</v>
      </c>
      <c r="F18" s="26">
        <f>+C18+D18-E18</f>
        <v>0</v>
      </c>
    </row>
    <row r="19" spans="2:6" x14ac:dyDescent="0.25">
      <c r="B19" s="34" t="s">
        <v>10</v>
      </c>
      <c r="C19" s="31">
        <f>+'Bce prueba local'!D13</f>
        <v>13400</v>
      </c>
      <c r="E19" s="26">
        <f>+CDT!D59</f>
        <v>13400</v>
      </c>
      <c r="F19" s="26">
        <f t="shared" ref="F19:F20" si="4">+C19+D19-E19</f>
        <v>0</v>
      </c>
    </row>
    <row r="20" spans="2:6" x14ac:dyDescent="0.25">
      <c r="B20" s="34" t="s">
        <v>11</v>
      </c>
      <c r="C20" s="31">
        <f>+'Bce prueba local'!D14</f>
        <v>8000</v>
      </c>
      <c r="E20" s="26">
        <f>+Fondo!E29</f>
        <v>8000</v>
      </c>
      <c r="F20" s="26">
        <f t="shared" si="4"/>
        <v>0</v>
      </c>
    </row>
    <row r="21" spans="2:6" x14ac:dyDescent="0.25">
      <c r="B21" s="34"/>
      <c r="C21" s="31"/>
    </row>
    <row r="22" spans="2:6" x14ac:dyDescent="0.25">
      <c r="B22" s="35" t="s">
        <v>107</v>
      </c>
      <c r="C22" s="31"/>
      <c r="D22" s="27">
        <f>+D23+D24+D25</f>
        <v>25123.805307684706</v>
      </c>
      <c r="F22" s="27">
        <f>+F23+F24+F25</f>
        <v>25123.805307684706</v>
      </c>
    </row>
    <row r="23" spans="2:6" x14ac:dyDescent="0.25">
      <c r="B23" s="34" t="s">
        <v>179</v>
      </c>
      <c r="C23" s="31"/>
      <c r="D23" s="26">
        <f>+CDT!C56</f>
        <v>14023.805307684708</v>
      </c>
      <c r="F23" s="26">
        <f>+D23-E23</f>
        <v>14023.805307684708</v>
      </c>
    </row>
    <row r="24" spans="2:6" x14ac:dyDescent="0.25">
      <c r="B24" s="34" t="s">
        <v>197</v>
      </c>
      <c r="C24" s="31"/>
      <c r="D24" s="26">
        <f>+Fondo!D27</f>
        <v>8550</v>
      </c>
      <c r="F24" s="26">
        <f>+D24-E24</f>
        <v>8550</v>
      </c>
    </row>
    <row r="25" spans="2:6" x14ac:dyDescent="0.25">
      <c r="B25" s="34" t="s">
        <v>457</v>
      </c>
      <c r="C25" s="31"/>
      <c r="D25" s="26">
        <f>+IP!D22</f>
        <v>2550</v>
      </c>
      <c r="F25" s="26">
        <f>+D25-E25</f>
        <v>2550</v>
      </c>
    </row>
    <row r="26" spans="2:6" x14ac:dyDescent="0.25">
      <c r="B26" s="34"/>
      <c r="C26" s="31"/>
    </row>
    <row r="27" spans="2:6" x14ac:dyDescent="0.25">
      <c r="B27" s="33" t="s">
        <v>12</v>
      </c>
      <c r="C27" s="32">
        <f>SUM(C28:C33)</f>
        <v>52300</v>
      </c>
      <c r="D27" s="32">
        <f t="shared" ref="D27:F27" si="5">SUM(D28:D33)</f>
        <v>0</v>
      </c>
      <c r="E27" s="32">
        <f t="shared" si="5"/>
        <v>11895.465892265474</v>
      </c>
      <c r="F27" s="32">
        <f t="shared" si="5"/>
        <v>40404.534107734522</v>
      </c>
    </row>
    <row r="28" spans="2:6" x14ac:dyDescent="0.25">
      <c r="B28" s="34" t="s">
        <v>13</v>
      </c>
      <c r="C28" s="31">
        <f>+'Bce prueba local'!D16</f>
        <v>35000</v>
      </c>
      <c r="F28" s="26">
        <f>+C28+D28-E28</f>
        <v>35000</v>
      </c>
    </row>
    <row r="29" spans="2:6" x14ac:dyDescent="0.25">
      <c r="B29" s="34" t="s">
        <v>14</v>
      </c>
      <c r="C29" s="31">
        <f>+'Bce prueba local'!D17</f>
        <v>800</v>
      </c>
      <c r="E29" s="26">
        <f>+Anticipos!F23</f>
        <v>800</v>
      </c>
      <c r="F29" s="26">
        <f t="shared" ref="F29:F33" si="6">+C29+D29-E29</f>
        <v>0</v>
      </c>
    </row>
    <row r="30" spans="2:6" x14ac:dyDescent="0.25">
      <c r="B30" s="34" t="s">
        <v>15</v>
      </c>
      <c r="C30" s="31">
        <f>+'Bce prueba local'!D18</f>
        <v>7000</v>
      </c>
      <c r="E30" s="26">
        <f>+Anticipos!F24</f>
        <v>7000</v>
      </c>
      <c r="F30" s="26">
        <f t="shared" si="6"/>
        <v>0</v>
      </c>
    </row>
    <row r="31" spans="2:6" x14ac:dyDescent="0.25">
      <c r="B31" s="34" t="s">
        <v>16</v>
      </c>
      <c r="C31" s="31">
        <f>+'Bce prueba local'!D19</f>
        <v>1000</v>
      </c>
      <c r="E31" s="26">
        <f>+Reclamac!E12</f>
        <v>1000</v>
      </c>
      <c r="F31" s="26">
        <f t="shared" si="6"/>
        <v>0</v>
      </c>
    </row>
    <row r="32" spans="2:6" x14ac:dyDescent="0.25">
      <c r="B32" s="34" t="s">
        <v>17</v>
      </c>
      <c r="C32" s="31">
        <f>+'Bce prueba local'!D20</f>
        <v>12000</v>
      </c>
      <c r="E32" s="26">
        <f>+'Ptos a 3erso'!D32</f>
        <v>642.46589226547439</v>
      </c>
      <c r="F32" s="26">
        <f t="shared" si="6"/>
        <v>11357.534107734526</v>
      </c>
    </row>
    <row r="33" spans="2:7" x14ac:dyDescent="0.25">
      <c r="B33" s="34" t="s">
        <v>18</v>
      </c>
      <c r="C33" s="31">
        <f>+'Bce prueba local'!D21</f>
        <v>-3500</v>
      </c>
      <c r="E33" s="26">
        <f>+'Provisión CXC'!F17</f>
        <v>2453</v>
      </c>
      <c r="F33" s="26">
        <f t="shared" si="6"/>
        <v>-5953</v>
      </c>
    </row>
    <row r="34" spans="2:7" x14ac:dyDescent="0.25">
      <c r="B34" s="34"/>
      <c r="C34" s="31"/>
    </row>
    <row r="35" spans="2:7" x14ac:dyDescent="0.25">
      <c r="B35" s="33" t="s">
        <v>19</v>
      </c>
      <c r="C35" s="32">
        <f>SUM(C36:C42)</f>
        <v>89000</v>
      </c>
      <c r="D35" s="32">
        <f t="shared" ref="D35:F35" si="7">SUM(D36:D42)</f>
        <v>0</v>
      </c>
      <c r="E35" s="32">
        <f t="shared" si="7"/>
        <v>15708.333333333332</v>
      </c>
      <c r="F35" s="32">
        <f t="shared" si="7"/>
        <v>73291.666666666672</v>
      </c>
      <c r="G35" s="26" t="s">
        <v>80</v>
      </c>
    </row>
    <row r="36" spans="2:7" x14ac:dyDescent="0.25">
      <c r="B36" s="34" t="s">
        <v>20</v>
      </c>
      <c r="C36" s="31">
        <f>+'Bce prueba local'!D23</f>
        <v>6000</v>
      </c>
      <c r="E36" s="26">
        <f>+MP!D17</f>
        <v>600</v>
      </c>
      <c r="F36" s="26">
        <f>+C36+D36-E36</f>
        <v>5400</v>
      </c>
    </row>
    <row r="37" spans="2:7" x14ac:dyDescent="0.25">
      <c r="B37" s="34" t="s">
        <v>21</v>
      </c>
      <c r="C37" s="31">
        <f>+'Bce prueba local'!D24</f>
        <v>7000</v>
      </c>
      <c r="E37" s="26">
        <f>+PP!D19</f>
        <v>641.66666666666674</v>
      </c>
      <c r="F37" s="26">
        <f t="shared" ref="F37:F42" si="8">+C37+D37-E37</f>
        <v>6358.333333333333</v>
      </c>
    </row>
    <row r="38" spans="2:7" x14ac:dyDescent="0.25">
      <c r="B38" s="34" t="s">
        <v>22</v>
      </c>
      <c r="C38" s="31">
        <f>+'Bce prueba local'!D25</f>
        <v>8000</v>
      </c>
      <c r="F38" s="26">
        <f t="shared" si="8"/>
        <v>8000</v>
      </c>
    </row>
    <row r="39" spans="2:7" x14ac:dyDescent="0.25">
      <c r="B39" s="34" t="s">
        <v>23</v>
      </c>
      <c r="C39" s="31">
        <f>+'Bce prueba local'!D26</f>
        <v>35000</v>
      </c>
      <c r="E39" s="26">
        <f>+PT!D27+PT!D57+PT!D82</f>
        <v>9266.6666666666661</v>
      </c>
      <c r="F39" s="26">
        <f t="shared" si="8"/>
        <v>25733.333333333336</v>
      </c>
    </row>
    <row r="40" spans="2:7" x14ac:dyDescent="0.25">
      <c r="B40" s="34" t="s">
        <v>24</v>
      </c>
      <c r="C40" s="31">
        <f>+'Bce prueba local'!D27</f>
        <v>23000</v>
      </c>
      <c r="E40" s="26">
        <f>+Mcias!D18</f>
        <v>2300</v>
      </c>
      <c r="F40" s="26">
        <f t="shared" si="8"/>
        <v>20700</v>
      </c>
    </row>
    <row r="41" spans="2:7" x14ac:dyDescent="0.25">
      <c r="B41" s="34" t="s">
        <v>25</v>
      </c>
      <c r="C41" s="31">
        <f>+'Bce prueba local'!D28</f>
        <v>5000</v>
      </c>
      <c r="F41" s="26">
        <f t="shared" si="8"/>
        <v>5000</v>
      </c>
    </row>
    <row r="42" spans="2:7" x14ac:dyDescent="0.25">
      <c r="B42" s="34" t="s">
        <v>26</v>
      </c>
      <c r="C42" s="31">
        <f>+'Bce prueba local'!D29</f>
        <v>5000</v>
      </c>
      <c r="E42" s="26">
        <f>+Rptos!E27</f>
        <v>2900</v>
      </c>
      <c r="F42" s="26">
        <f t="shared" si="8"/>
        <v>2100</v>
      </c>
    </row>
    <row r="43" spans="2:7" x14ac:dyDescent="0.25">
      <c r="B43" s="34"/>
      <c r="C43" s="31"/>
    </row>
    <row r="44" spans="2:7" x14ac:dyDescent="0.25">
      <c r="B44" s="33" t="s">
        <v>27</v>
      </c>
      <c r="C44" s="32">
        <f>SUM(C45:C54)</f>
        <v>51000</v>
      </c>
      <c r="D44" s="32">
        <f t="shared" ref="D44:F44" si="9">SUM(D45:D54)</f>
        <v>167359.92191496055</v>
      </c>
      <c r="E44" s="32">
        <f t="shared" si="9"/>
        <v>102976.79689813506</v>
      </c>
      <c r="F44" s="32">
        <f t="shared" si="9"/>
        <v>115383.12501682549</v>
      </c>
    </row>
    <row r="45" spans="2:7" x14ac:dyDescent="0.25">
      <c r="B45" s="34" t="s">
        <v>252</v>
      </c>
      <c r="C45" s="31"/>
      <c r="D45" s="31">
        <f>+Anticipos!E19</f>
        <v>7000</v>
      </c>
      <c r="E45" s="31"/>
      <c r="F45" s="31">
        <f>+C45+D45-E45</f>
        <v>7000</v>
      </c>
    </row>
    <row r="46" spans="2:7" x14ac:dyDescent="0.25">
      <c r="B46" s="34" t="s">
        <v>379</v>
      </c>
      <c r="C46" s="31"/>
      <c r="D46" s="31">
        <f>+Rptos!D25</f>
        <v>3000</v>
      </c>
      <c r="E46" s="31"/>
      <c r="F46" s="31">
        <f t="shared" ref="F46:F54" si="10">+C46+D46-E46</f>
        <v>3000</v>
      </c>
    </row>
    <row r="47" spans="2:7" x14ac:dyDescent="0.25">
      <c r="B47" s="34" t="s">
        <v>400</v>
      </c>
      <c r="C47" s="31"/>
      <c r="D47" s="31">
        <f>+Inmuebles!C22</f>
        <v>3500</v>
      </c>
      <c r="E47" s="31"/>
      <c r="F47" s="31">
        <f t="shared" si="10"/>
        <v>3500</v>
      </c>
    </row>
    <row r="48" spans="2:7" x14ac:dyDescent="0.25">
      <c r="B48" s="34" t="s">
        <v>28</v>
      </c>
      <c r="C48" s="31">
        <f>+'Bce prueba local'!D31</f>
        <v>13000</v>
      </c>
      <c r="D48" s="26">
        <f>+Inmuebles!C23</f>
        <v>13000</v>
      </c>
      <c r="E48" s="26">
        <f>+Inmuebles!D25</f>
        <v>13000</v>
      </c>
      <c r="F48" s="31">
        <f t="shared" si="10"/>
        <v>13000</v>
      </c>
    </row>
    <row r="49" spans="2:7" x14ac:dyDescent="0.25">
      <c r="B49" s="34" t="s">
        <v>29</v>
      </c>
      <c r="C49" s="31">
        <f>+'Bce prueba local'!D32</f>
        <v>54000</v>
      </c>
      <c r="D49" s="26">
        <f>+Maquin!D22+Maquin!C45</f>
        <v>58859.921914960541</v>
      </c>
      <c r="E49" s="26">
        <f>+Maquin!E24</f>
        <v>54000</v>
      </c>
      <c r="F49" s="31">
        <f t="shared" si="10"/>
        <v>58859.921914960549</v>
      </c>
    </row>
    <row r="50" spans="2:7" x14ac:dyDescent="0.25">
      <c r="B50" s="34" t="s">
        <v>30</v>
      </c>
      <c r="C50" s="31">
        <f>+'Bce prueba local'!D33</f>
        <v>3000</v>
      </c>
      <c r="F50" s="31">
        <f t="shared" si="10"/>
        <v>3000</v>
      </c>
      <c r="G50" s="26" t="s">
        <v>80</v>
      </c>
    </row>
    <row r="51" spans="2:7" x14ac:dyDescent="0.25">
      <c r="B51" s="34" t="s">
        <v>515</v>
      </c>
      <c r="C51" s="31"/>
      <c r="D51" s="26">
        <f>+Arren!C175</f>
        <v>57000</v>
      </c>
      <c r="F51" s="31">
        <f t="shared" si="10"/>
        <v>57000</v>
      </c>
    </row>
    <row r="52" spans="2:7" x14ac:dyDescent="0.25">
      <c r="B52" s="34" t="s">
        <v>31</v>
      </c>
      <c r="C52" s="31">
        <f>+'Bce prueba local'!D34</f>
        <v>-26000</v>
      </c>
      <c r="D52" s="26">
        <f>+Inmuebles!C27+Maquin!D25</f>
        <v>25000</v>
      </c>
      <c r="E52" s="26">
        <f>+Maquin!D62+Arren!D176</f>
        <v>27676.796898135053</v>
      </c>
      <c r="F52" s="31">
        <f t="shared" si="10"/>
        <v>-28676.796898135053</v>
      </c>
    </row>
    <row r="53" spans="2:7" x14ac:dyDescent="0.25">
      <c r="B53" s="34" t="s">
        <v>380</v>
      </c>
      <c r="C53" s="31"/>
      <c r="E53" s="26">
        <f>+Rptos!E26</f>
        <v>1300</v>
      </c>
      <c r="F53" s="31">
        <f t="shared" si="10"/>
        <v>-1300</v>
      </c>
    </row>
    <row r="54" spans="2:7" x14ac:dyDescent="0.25">
      <c r="B54" s="34" t="s">
        <v>32</v>
      </c>
      <c r="C54" s="31">
        <f>+'Bce prueba local'!D35</f>
        <v>7000</v>
      </c>
      <c r="E54" s="26">
        <f>+Maquin!D69</f>
        <v>7000</v>
      </c>
      <c r="F54" s="31">
        <f t="shared" si="10"/>
        <v>0</v>
      </c>
    </row>
    <row r="55" spans="2:7" x14ac:dyDescent="0.25">
      <c r="B55" s="34"/>
      <c r="C55" s="31"/>
    </row>
    <row r="56" spans="2:7" x14ac:dyDescent="0.25">
      <c r="B56" s="33" t="s">
        <v>104</v>
      </c>
      <c r="C56" s="31"/>
      <c r="D56" s="27">
        <f>+Inmuebles!C24</f>
        <v>12000</v>
      </c>
      <c r="F56" s="26">
        <f>+C56+D56-E56</f>
        <v>12000</v>
      </c>
    </row>
    <row r="57" spans="2:7" x14ac:dyDescent="0.25">
      <c r="B57" s="34"/>
      <c r="C57" s="31"/>
    </row>
    <row r="58" spans="2:7" x14ac:dyDescent="0.25">
      <c r="B58" s="33" t="s">
        <v>33</v>
      </c>
      <c r="C58" s="32">
        <f>SUM(C59:C60)</f>
        <v>11300</v>
      </c>
      <c r="D58" s="32">
        <f t="shared" ref="D58:F58" si="11">SUM(D59:D60)</f>
        <v>0</v>
      </c>
      <c r="E58" s="32">
        <f t="shared" si="11"/>
        <v>9300</v>
      </c>
      <c r="F58" s="32">
        <f t="shared" si="11"/>
        <v>2000</v>
      </c>
    </row>
    <row r="59" spans="2:7" x14ac:dyDescent="0.25">
      <c r="B59" s="34" t="s">
        <v>34</v>
      </c>
      <c r="C59" s="31">
        <f>+'Bce prueba local'!D37</f>
        <v>2000</v>
      </c>
      <c r="F59" s="26">
        <f>+C59+D59-E59</f>
        <v>2000</v>
      </c>
    </row>
    <row r="60" spans="2:7" x14ac:dyDescent="0.25">
      <c r="B60" s="34" t="s">
        <v>35</v>
      </c>
      <c r="C60" s="31">
        <f>+'Bce prueba local'!D38</f>
        <v>9300</v>
      </c>
      <c r="E60" s="26">
        <f>+Otrosactivos!D25</f>
        <v>9300</v>
      </c>
      <c r="F60" s="26">
        <f>+C60+D60-E60</f>
        <v>0</v>
      </c>
    </row>
    <row r="61" spans="2:7" x14ac:dyDescent="0.25">
      <c r="B61" s="34"/>
      <c r="C61" s="31"/>
    </row>
    <row r="62" spans="2:7" x14ac:dyDescent="0.25">
      <c r="B62" s="33" t="s">
        <v>36</v>
      </c>
      <c r="C62" s="32">
        <f>+C63</f>
        <v>1200</v>
      </c>
      <c r="D62" s="32">
        <f t="shared" ref="D62:F62" si="12">+D63</f>
        <v>0</v>
      </c>
      <c r="E62" s="32">
        <f t="shared" si="12"/>
        <v>1200</v>
      </c>
      <c r="F62" s="32">
        <f t="shared" si="12"/>
        <v>0</v>
      </c>
    </row>
    <row r="63" spans="2:7" x14ac:dyDescent="0.25">
      <c r="B63" s="34" t="s">
        <v>37</v>
      </c>
      <c r="C63" s="31">
        <f>+'Bce prueba local'!D40</f>
        <v>1200</v>
      </c>
      <c r="E63" s="26">
        <f>+Otrosactivos!D26</f>
        <v>1200</v>
      </c>
      <c r="F63" s="26">
        <f>+C63+D63-E63</f>
        <v>0</v>
      </c>
    </row>
    <row r="64" spans="2:7" x14ac:dyDescent="0.25">
      <c r="B64" s="34"/>
      <c r="C64" s="31"/>
    </row>
    <row r="65" spans="2:6" x14ac:dyDescent="0.25">
      <c r="B65" s="33" t="s">
        <v>38</v>
      </c>
      <c r="C65" s="32">
        <f>+C66</f>
        <v>38000</v>
      </c>
      <c r="D65" s="32">
        <f t="shared" ref="D65:F65" si="13">+D66</f>
        <v>0</v>
      </c>
      <c r="E65" s="32">
        <f t="shared" si="13"/>
        <v>38000</v>
      </c>
      <c r="F65" s="32">
        <f t="shared" si="13"/>
        <v>0</v>
      </c>
    </row>
    <row r="66" spans="2:6" x14ac:dyDescent="0.25">
      <c r="B66" s="34" t="s">
        <v>39</v>
      </c>
      <c r="C66" s="31">
        <f>+'Bce prueba local'!D42</f>
        <v>38000</v>
      </c>
      <c r="E66" s="26">
        <f>+Otrosactivos!D29</f>
        <v>38000</v>
      </c>
      <c r="F66" s="26">
        <f>+C66+D66-E66</f>
        <v>0</v>
      </c>
    </row>
    <row r="67" spans="2:6" x14ac:dyDescent="0.25">
      <c r="B67" s="33" t="s">
        <v>40</v>
      </c>
      <c r="C67" s="32">
        <f>+C7+C17+C27+C35+C44+C58+C62+C65</f>
        <v>275300</v>
      </c>
      <c r="F67" s="32">
        <f>+F7+F17+F27+F35+F44+F58+F62+F65</f>
        <v>231079.3257912267</v>
      </c>
    </row>
    <row r="68" spans="2:6" x14ac:dyDescent="0.25">
      <c r="B68" s="34"/>
      <c r="C68" s="31">
        <f>+'Bce prueba local'!D44</f>
        <v>0</v>
      </c>
    </row>
    <row r="69" spans="2:6" x14ac:dyDescent="0.25">
      <c r="B69" s="33" t="s">
        <v>41</v>
      </c>
      <c r="C69" s="31">
        <f>+'Bce prueba local'!D45</f>
        <v>0</v>
      </c>
    </row>
    <row r="70" spans="2:6" x14ac:dyDescent="0.25">
      <c r="B70" s="33" t="s">
        <v>42</v>
      </c>
      <c r="C70" s="32">
        <f>SUM(C71:C72)</f>
        <v>62000</v>
      </c>
      <c r="D70" s="32">
        <f t="shared" ref="D70:F70" si="14">SUM(D71:D72)</f>
        <v>5636.3114047687413</v>
      </c>
      <c r="E70" s="32">
        <f t="shared" si="14"/>
        <v>29564.049594725591</v>
      </c>
      <c r="F70" s="32">
        <f t="shared" si="14"/>
        <v>85927.738189956843</v>
      </c>
    </row>
    <row r="71" spans="2:6" x14ac:dyDescent="0.25">
      <c r="B71" s="34" t="s">
        <v>43</v>
      </c>
      <c r="C71" s="31">
        <f>+'Bce prueba local'!D47</f>
        <v>32000</v>
      </c>
      <c r="E71" s="26">
        <f>+Arren!D177+OF!D45</f>
        <v>29564.049594725591</v>
      </c>
      <c r="F71" s="26">
        <f>+C71-D71+E71</f>
        <v>61564.049594725591</v>
      </c>
    </row>
    <row r="72" spans="2:6" x14ac:dyDescent="0.25">
      <c r="B72" s="34" t="s">
        <v>44</v>
      </c>
      <c r="C72" s="31">
        <f>+'Bce prueba local'!D48</f>
        <v>30000</v>
      </c>
      <c r="D72" s="26">
        <f>+OF!C74</f>
        <v>5636.3114047687413</v>
      </c>
      <c r="F72" s="26">
        <f>+C72-D72+E72</f>
        <v>24363.688595231259</v>
      </c>
    </row>
    <row r="73" spans="2:6" x14ac:dyDescent="0.25">
      <c r="B73" s="34"/>
      <c r="C73" s="31"/>
    </row>
    <row r="74" spans="2:6" x14ac:dyDescent="0.25">
      <c r="B74" s="33" t="s">
        <v>45</v>
      </c>
      <c r="C74" s="32">
        <f>+C75</f>
        <v>36810</v>
      </c>
      <c r="D74" s="32">
        <f t="shared" ref="D74:F74" si="15">+D75</f>
        <v>0</v>
      </c>
      <c r="E74" s="32">
        <f t="shared" si="15"/>
        <v>0</v>
      </c>
      <c r="F74" s="32">
        <f t="shared" si="15"/>
        <v>0</v>
      </c>
    </row>
    <row r="75" spans="2:6" x14ac:dyDescent="0.25">
      <c r="B75" s="34" t="s">
        <v>46</v>
      </c>
      <c r="C75" s="31">
        <f>+'Bce prueba local'!D50</f>
        <v>36810</v>
      </c>
    </row>
    <row r="76" spans="2:6" x14ac:dyDescent="0.25">
      <c r="B76" s="34"/>
      <c r="C76" s="31"/>
    </row>
    <row r="77" spans="2:6" x14ac:dyDescent="0.25">
      <c r="B77" s="33" t="s">
        <v>47</v>
      </c>
      <c r="C77" s="32">
        <f>SUM(C78:C79)</f>
        <v>9900</v>
      </c>
      <c r="D77" s="32">
        <f t="shared" ref="D77:F77" si="16">SUM(D78:D79)</f>
        <v>0</v>
      </c>
      <c r="E77" s="32">
        <f t="shared" si="16"/>
        <v>0</v>
      </c>
      <c r="F77" s="32">
        <f t="shared" si="16"/>
        <v>0</v>
      </c>
    </row>
    <row r="78" spans="2:6" x14ac:dyDescent="0.25">
      <c r="B78" s="34" t="s">
        <v>48</v>
      </c>
      <c r="C78" s="31">
        <f>+'Bce prueba local'!D52</f>
        <v>3100</v>
      </c>
    </row>
    <row r="79" spans="2:6" x14ac:dyDescent="0.25">
      <c r="B79" s="34" t="s">
        <v>49</v>
      </c>
      <c r="C79" s="31">
        <f>+'Bce prueba local'!D53</f>
        <v>6800</v>
      </c>
    </row>
    <row r="80" spans="2:6" x14ac:dyDescent="0.25">
      <c r="B80" s="34"/>
      <c r="C80" s="31"/>
    </row>
    <row r="81" spans="2:7" x14ac:dyDescent="0.25">
      <c r="B81" s="33" t="s">
        <v>50</v>
      </c>
      <c r="C81" s="32">
        <f>SUM(C82:C83)</f>
        <v>3000</v>
      </c>
      <c r="D81" s="32">
        <f t="shared" ref="D81:F81" si="17">SUM(D82:D83)</f>
        <v>0</v>
      </c>
      <c r="E81" s="32">
        <f t="shared" si="17"/>
        <v>0</v>
      </c>
      <c r="F81" s="32">
        <f t="shared" si="17"/>
        <v>0</v>
      </c>
    </row>
    <row r="82" spans="2:7" x14ac:dyDescent="0.25">
      <c r="B82" s="34" t="s">
        <v>51</v>
      </c>
      <c r="C82" s="31">
        <f>+'Bce prueba local'!D55</f>
        <v>2900</v>
      </c>
    </row>
    <row r="83" spans="2:7" x14ac:dyDescent="0.25">
      <c r="B83" s="34" t="s">
        <v>52</v>
      </c>
      <c r="C83" s="31">
        <f>+'Bce prueba local'!D56</f>
        <v>100</v>
      </c>
    </row>
    <row r="84" spans="2:7" x14ac:dyDescent="0.25">
      <c r="B84" s="34"/>
      <c r="C84" s="31"/>
    </row>
    <row r="85" spans="2:7" x14ac:dyDescent="0.25">
      <c r="B85" s="33" t="s">
        <v>53</v>
      </c>
      <c r="C85" s="32">
        <f>SUM(C86:C87)</f>
        <v>11000</v>
      </c>
      <c r="D85" s="32">
        <f t="shared" ref="D85:F85" si="18">SUM(D86:D87)</f>
        <v>0</v>
      </c>
      <c r="E85" s="32">
        <f t="shared" si="18"/>
        <v>0</v>
      </c>
      <c r="F85" s="32">
        <f t="shared" si="18"/>
        <v>0</v>
      </c>
    </row>
    <row r="86" spans="2:7" x14ac:dyDescent="0.25">
      <c r="B86" s="34" t="s">
        <v>54</v>
      </c>
      <c r="C86" s="31">
        <f>+'Bce prueba local'!D58</f>
        <v>6000</v>
      </c>
    </row>
    <row r="87" spans="2:7" x14ac:dyDescent="0.25">
      <c r="B87" s="34" t="s">
        <v>55</v>
      </c>
      <c r="C87" s="31">
        <f>+'Bce prueba local'!D59</f>
        <v>5000</v>
      </c>
      <c r="G87" s="26" t="s">
        <v>80</v>
      </c>
    </row>
    <row r="88" spans="2:7" x14ac:dyDescent="0.25">
      <c r="B88" s="34"/>
      <c r="C88" s="31"/>
    </row>
    <row r="89" spans="2:7" x14ac:dyDescent="0.25">
      <c r="B89" s="33" t="s">
        <v>56</v>
      </c>
      <c r="C89" s="32">
        <f>SUM(C90:C93)</f>
        <v>22000</v>
      </c>
      <c r="D89" s="32">
        <f t="shared" ref="D89:F89" si="19">SUM(D90:D93)</f>
        <v>0</v>
      </c>
      <c r="E89" s="32">
        <f t="shared" si="19"/>
        <v>4799.3916211703918</v>
      </c>
      <c r="F89" s="32">
        <f t="shared" si="19"/>
        <v>0</v>
      </c>
    </row>
    <row r="90" spans="2:7" x14ac:dyDescent="0.25">
      <c r="B90" s="34" t="s">
        <v>57</v>
      </c>
      <c r="C90" s="31">
        <f>+'Bce prueba local'!D61</f>
        <v>8000</v>
      </c>
    </row>
    <row r="91" spans="2:7" x14ac:dyDescent="0.25">
      <c r="B91" s="34" t="s">
        <v>58</v>
      </c>
      <c r="C91" s="31">
        <f>+'Bce prueba local'!D62</f>
        <v>4000</v>
      </c>
    </row>
    <row r="92" spans="2:7" x14ac:dyDescent="0.25">
      <c r="B92" s="34" t="s">
        <v>59</v>
      </c>
      <c r="C92" s="31">
        <f>+'Bce prueba local'!D63</f>
        <v>10000</v>
      </c>
    </row>
    <row r="93" spans="2:7" x14ac:dyDescent="0.25">
      <c r="B93" s="34" t="s">
        <v>428</v>
      </c>
      <c r="C93" s="31"/>
      <c r="E93" s="26">
        <f>+Maquin!D46</f>
        <v>4799.3916211703918</v>
      </c>
    </row>
    <row r="94" spans="2:7" x14ac:dyDescent="0.25">
      <c r="B94" s="34"/>
      <c r="C94" s="31"/>
    </row>
    <row r="95" spans="2:7" x14ac:dyDescent="0.25">
      <c r="B95" s="33" t="s">
        <v>33</v>
      </c>
      <c r="C95" s="32">
        <f>+C96+C97</f>
        <v>2000</v>
      </c>
      <c r="D95" s="32">
        <f t="shared" ref="D95:F95" si="20">+D96+D97</f>
        <v>0</v>
      </c>
      <c r="E95" s="32">
        <f t="shared" si="20"/>
        <v>604.64085091345407</v>
      </c>
      <c r="F95" s="32">
        <f t="shared" si="20"/>
        <v>604.64085091345407</v>
      </c>
    </row>
    <row r="96" spans="2:7" x14ac:dyDescent="0.25">
      <c r="B96" s="34" t="s">
        <v>60</v>
      </c>
      <c r="C96" s="31">
        <f>+'Bce prueba local'!D65</f>
        <v>2000</v>
      </c>
    </row>
    <row r="97" spans="2:6" x14ac:dyDescent="0.25">
      <c r="B97" s="34" t="s">
        <v>237</v>
      </c>
      <c r="C97" s="31"/>
      <c r="E97" s="26">
        <f>+'CXC Clientes'!E58</f>
        <v>604.64085091345407</v>
      </c>
      <c r="F97" s="26">
        <f>+C97+E97-D97</f>
        <v>604.64085091345407</v>
      </c>
    </row>
    <row r="98" spans="2:6" x14ac:dyDescent="0.25">
      <c r="B98" s="33" t="s">
        <v>61</v>
      </c>
      <c r="C98" s="32">
        <f>+C70+C74+C77+C81+C85+C89+C95</f>
        <v>146710</v>
      </c>
      <c r="F98" s="32">
        <f>+F70+F74+F77+F81+F85+F89+F95</f>
        <v>86532.379040870292</v>
      </c>
    </row>
    <row r="99" spans="2:6" x14ac:dyDescent="0.25">
      <c r="B99" s="34"/>
      <c r="C99" s="31" t="s">
        <v>80</v>
      </c>
    </row>
    <row r="100" spans="2:6" x14ac:dyDescent="0.25">
      <c r="B100" s="33" t="s">
        <v>62</v>
      </c>
      <c r="C100" s="31" t="s">
        <v>80</v>
      </c>
    </row>
    <row r="101" spans="2:6" x14ac:dyDescent="0.25">
      <c r="B101" s="34" t="s">
        <v>63</v>
      </c>
      <c r="C101" s="31">
        <f>+'Bce prueba local'!F69</f>
        <v>70000</v>
      </c>
      <c r="F101" s="26">
        <f t="shared" ref="F101:F108" si="21">+C101-D101+E101</f>
        <v>70000</v>
      </c>
    </row>
    <row r="102" spans="2:6" x14ac:dyDescent="0.25">
      <c r="B102" s="34" t="s">
        <v>64</v>
      </c>
      <c r="C102" s="31">
        <f>+'Bce prueba local'!F70</f>
        <v>7100</v>
      </c>
      <c r="D102" s="26">
        <f>+IP!D18</f>
        <v>1100</v>
      </c>
      <c r="F102" s="26">
        <f t="shared" si="21"/>
        <v>6000</v>
      </c>
    </row>
    <row r="103" spans="2:6" x14ac:dyDescent="0.25">
      <c r="B103" s="34" t="s">
        <v>65</v>
      </c>
      <c r="C103" s="31">
        <f>+'Bce prueba local'!F71</f>
        <v>1000</v>
      </c>
      <c r="F103" s="26">
        <f t="shared" si="21"/>
        <v>1000</v>
      </c>
    </row>
    <row r="104" spans="2:6" x14ac:dyDescent="0.25">
      <c r="B104" s="34" t="s">
        <v>66</v>
      </c>
      <c r="C104" s="31">
        <f>+'Bce prueba local'!F72</f>
        <v>3000</v>
      </c>
      <c r="F104" s="26">
        <f t="shared" si="21"/>
        <v>3000</v>
      </c>
    </row>
    <row r="105" spans="2:6" x14ac:dyDescent="0.25">
      <c r="B105" s="34" t="s">
        <v>67</v>
      </c>
      <c r="C105" s="31">
        <f>+'Bce prueba local'!F73</f>
        <v>1800</v>
      </c>
      <c r="F105" s="26">
        <f t="shared" si="21"/>
        <v>1800</v>
      </c>
    </row>
    <row r="106" spans="2:6" x14ac:dyDescent="0.25">
      <c r="B106" s="34" t="s">
        <v>68</v>
      </c>
      <c r="C106" s="31">
        <f>+'Bce prueba local'!F74</f>
        <v>7690</v>
      </c>
      <c r="F106" s="26">
        <f t="shared" si="21"/>
        <v>7690</v>
      </c>
    </row>
    <row r="107" spans="2:6" x14ac:dyDescent="0.25">
      <c r="B107" s="34" t="s">
        <v>180</v>
      </c>
      <c r="C107" s="31"/>
      <c r="D107" s="26">
        <f>+D143</f>
        <v>44646.702968396006</v>
      </c>
      <c r="E107" s="26">
        <f>+E143</f>
        <v>18768.063405266701</v>
      </c>
      <c r="F107" s="26">
        <f t="shared" si="21"/>
        <v>-25878.639563129305</v>
      </c>
    </row>
    <row r="108" spans="2:6" x14ac:dyDescent="0.25">
      <c r="B108" s="34" t="s">
        <v>401</v>
      </c>
      <c r="C108" s="31"/>
      <c r="E108" s="26">
        <f>+Inmuebles!D28+Maquin!E26</f>
        <v>34500</v>
      </c>
      <c r="F108" s="26">
        <f t="shared" si="21"/>
        <v>34500</v>
      </c>
    </row>
    <row r="109" spans="2:6" x14ac:dyDescent="0.25">
      <c r="B109" s="34" t="s">
        <v>69</v>
      </c>
      <c r="C109" s="31">
        <f>+'Bce prueba local'!F75</f>
        <v>38000</v>
      </c>
      <c r="D109" s="26">
        <f>+Otrosactivos!C28</f>
        <v>38000</v>
      </c>
      <c r="F109" s="26">
        <f>+C109-D109+E109</f>
        <v>0</v>
      </c>
    </row>
    <row r="110" spans="2:6" x14ac:dyDescent="0.25">
      <c r="B110" s="33" t="s">
        <v>70</v>
      </c>
      <c r="C110" s="32">
        <f>SUM(C101:C109)</f>
        <v>128590</v>
      </c>
      <c r="D110" s="32">
        <f t="shared" ref="D110:F110" si="22">SUM(D101:D109)</f>
        <v>83746.702968396014</v>
      </c>
      <c r="E110" s="32">
        <f t="shared" si="22"/>
        <v>53268.063405266701</v>
      </c>
      <c r="F110" s="32">
        <f t="shared" si="22"/>
        <v>98111.360436870687</v>
      </c>
    </row>
    <row r="111" spans="2:6" x14ac:dyDescent="0.25">
      <c r="B111" s="33" t="s">
        <v>71</v>
      </c>
      <c r="C111" s="32">
        <f>+C98+C110</f>
        <v>275300</v>
      </c>
      <c r="D111" s="32">
        <f>+D7+D17+D27+D35+D44+D58+D62+D65+D70+D74+D77+D81+D85+D89+D95+D110+D12+D22+D56</f>
        <v>299816.74159580999</v>
      </c>
      <c r="E111" s="32">
        <f>+E7+E17+E27+E35+E44+E58+E62+E65+E70+E74+E77+E81+E85+E89+E95+E110</f>
        <v>299816.74159580999</v>
      </c>
      <c r="F111" s="32">
        <f>+F98+F110</f>
        <v>184643.73947774098</v>
      </c>
    </row>
    <row r="112" spans="2:6" x14ac:dyDescent="0.25">
      <c r="B112" s="33" t="s">
        <v>72</v>
      </c>
      <c r="C112" s="32">
        <f>+C111-C67</f>
        <v>0</v>
      </c>
      <c r="F112" s="32">
        <f>+F111-F67</f>
        <v>-46435.586313485721</v>
      </c>
    </row>
    <row r="113" spans="2:6" x14ac:dyDescent="0.25">
      <c r="B113" s="36"/>
      <c r="C113" s="32" t="s">
        <v>80</v>
      </c>
      <c r="F113" s="32" t="s">
        <v>80</v>
      </c>
    </row>
    <row r="115" spans="2:6" x14ac:dyDescent="0.25">
      <c r="B115" s="34" t="s">
        <v>181</v>
      </c>
    </row>
    <row r="116" spans="2:6" x14ac:dyDescent="0.25">
      <c r="B116" s="26" t="s">
        <v>182</v>
      </c>
      <c r="E116" s="26">
        <f>+CDT!D62</f>
        <v>623.80530768470817</v>
      </c>
    </row>
    <row r="117" spans="2:6" x14ac:dyDescent="0.25">
      <c r="B117" s="26" t="s">
        <v>198</v>
      </c>
      <c r="E117" s="26">
        <f>+Fondo!E31</f>
        <v>550</v>
      </c>
    </row>
    <row r="118" spans="2:6" x14ac:dyDescent="0.25">
      <c r="B118" s="26" t="s">
        <v>238</v>
      </c>
      <c r="D118" s="26">
        <f>+'CXC Clientes'!D57</f>
        <v>604.64085091345407</v>
      </c>
    </row>
    <row r="119" spans="2:6" x14ac:dyDescent="0.25">
      <c r="B119" s="26" t="s">
        <v>253</v>
      </c>
      <c r="D119" s="26">
        <f>+Anticipos!E17</f>
        <v>800</v>
      </c>
    </row>
    <row r="120" spans="2:6" x14ac:dyDescent="0.25">
      <c r="B120" s="26" t="s">
        <v>259</v>
      </c>
      <c r="D120" s="26">
        <f>+Reclamac!D10</f>
        <v>1000</v>
      </c>
    </row>
    <row r="121" spans="2:6" x14ac:dyDescent="0.25">
      <c r="B121" s="26" t="s">
        <v>277</v>
      </c>
      <c r="D121" s="26">
        <f>+'Ptos a 3erso'!C31</f>
        <v>642.46589226547439</v>
      </c>
    </row>
    <row r="122" spans="2:6" x14ac:dyDescent="0.25">
      <c r="B122" s="26" t="s">
        <v>292</v>
      </c>
      <c r="D122" s="26">
        <f>+'Provisión CXC'!E16</f>
        <v>2453</v>
      </c>
    </row>
    <row r="123" spans="2:6" x14ac:dyDescent="0.25">
      <c r="B123" s="26" t="s">
        <v>303</v>
      </c>
      <c r="D123" s="26">
        <f>+MP!C15</f>
        <v>600</v>
      </c>
    </row>
    <row r="124" spans="2:6" x14ac:dyDescent="0.25">
      <c r="B124" s="26" t="s">
        <v>311</v>
      </c>
      <c r="D124" s="26">
        <f>+PP!C18</f>
        <v>641.66666666666674</v>
      </c>
    </row>
    <row r="125" spans="2:6" x14ac:dyDescent="0.25">
      <c r="B125" s="26" t="s">
        <v>354</v>
      </c>
      <c r="D125" s="26">
        <f>+PT!C26</f>
        <v>1925</v>
      </c>
    </row>
    <row r="126" spans="2:6" x14ac:dyDescent="0.25">
      <c r="B126" s="26" t="s">
        <v>355</v>
      </c>
      <c r="D126" s="26">
        <f>+PT!C56</f>
        <v>3666.6666666666665</v>
      </c>
    </row>
    <row r="127" spans="2:6" x14ac:dyDescent="0.25">
      <c r="B127" s="26" t="s">
        <v>356</v>
      </c>
      <c r="D127" s="26">
        <f>+PT!C81</f>
        <v>3675</v>
      </c>
    </row>
    <row r="128" spans="2:6" x14ac:dyDescent="0.25">
      <c r="B128" s="26" t="s">
        <v>363</v>
      </c>
      <c r="D128" s="26">
        <f>+Mcias!C17</f>
        <v>2300</v>
      </c>
    </row>
    <row r="129" spans="2:5" x14ac:dyDescent="0.25">
      <c r="B129" s="26" t="s">
        <v>381</v>
      </c>
      <c r="D129" s="26">
        <f>+Rptos!D28</f>
        <v>900</v>
      </c>
    </row>
    <row r="130" spans="2:5" x14ac:dyDescent="0.25">
      <c r="B130" s="26" t="s">
        <v>382</v>
      </c>
      <c r="D130" s="26">
        <f>+Rptos!D29</f>
        <v>300</v>
      </c>
    </row>
    <row r="131" spans="2:5" x14ac:dyDescent="0.25">
      <c r="B131" s="26" t="s">
        <v>402</v>
      </c>
      <c r="E131" s="26">
        <f>+Inmuebles!D29</f>
        <v>9000</v>
      </c>
    </row>
    <row r="132" spans="2:5" x14ac:dyDescent="0.25">
      <c r="B132" s="26" t="s">
        <v>429</v>
      </c>
      <c r="D132" s="26">
        <f>+Maquin!C47</f>
        <v>2939.4697062098471</v>
      </c>
    </row>
    <row r="133" spans="2:5" x14ac:dyDescent="0.25">
      <c r="B133" s="26" t="s">
        <v>430</v>
      </c>
      <c r="D133" s="26">
        <f>+Maquin!C61</f>
        <v>1076.7968981350521</v>
      </c>
    </row>
    <row r="134" spans="2:5" x14ac:dyDescent="0.25">
      <c r="B134" s="26" t="s">
        <v>433</v>
      </c>
      <c r="D134" s="26">
        <f>+Maquin!C68</f>
        <v>7000</v>
      </c>
    </row>
    <row r="135" spans="2:5" x14ac:dyDescent="0.25">
      <c r="B135" s="26" t="s">
        <v>444</v>
      </c>
      <c r="D135" s="26">
        <f>+Otrosactivos!C23</f>
        <v>10500</v>
      </c>
    </row>
    <row r="136" spans="2:5" x14ac:dyDescent="0.25">
      <c r="B136" s="26" t="s">
        <v>458</v>
      </c>
      <c r="D136" s="26">
        <f>+IP!D25</f>
        <v>1500</v>
      </c>
    </row>
    <row r="137" spans="2:5" x14ac:dyDescent="0.25">
      <c r="B137" s="26" t="s">
        <v>516</v>
      </c>
      <c r="E137" s="26">
        <f>+Arren!D178</f>
        <v>2957.9466928132533</v>
      </c>
    </row>
    <row r="138" spans="2:5" x14ac:dyDescent="0.25">
      <c r="B138" s="26" t="s">
        <v>530</v>
      </c>
      <c r="D138" s="26">
        <f>+OF!C44</f>
        <v>2121.9962875388446</v>
      </c>
    </row>
    <row r="139" spans="2:5" x14ac:dyDescent="0.25">
      <c r="B139" s="26" t="s">
        <v>538</v>
      </c>
      <c r="E139" s="26">
        <f>+OF!D75</f>
        <v>5636.3114047687413</v>
      </c>
    </row>
    <row r="143" spans="2:5" ht="15.75" thickBot="1" x14ac:dyDescent="0.3">
      <c r="D143" s="77">
        <f>SUM(D116:D142)</f>
        <v>44646.702968396006</v>
      </c>
      <c r="E143" s="77">
        <f>SUM(E116:E142)</f>
        <v>18768.063405266701</v>
      </c>
    </row>
    <row r="144" spans="2:5" ht="15.75" thickTop="1" x14ac:dyDescent="0.25"/>
  </sheetData>
  <mergeCells count="1">
    <mergeCell ref="D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B2" sqref="B2"/>
    </sheetView>
  </sheetViews>
  <sheetFormatPr baseColWidth="10" defaultColWidth="10.85546875" defaultRowHeight="15" x14ac:dyDescent="0.25"/>
  <cols>
    <col min="1" max="1" width="2.85546875" style="123" customWidth="1"/>
    <col min="2" max="256" width="10.85546875" style="123"/>
    <col min="257" max="257" width="2.85546875" style="123" customWidth="1"/>
    <col min="258" max="512" width="10.85546875" style="123"/>
    <col min="513" max="513" width="2.85546875" style="123" customWidth="1"/>
    <col min="514" max="768" width="10.85546875" style="123"/>
    <col min="769" max="769" width="2.85546875" style="123" customWidth="1"/>
    <col min="770" max="1024" width="10.85546875" style="123"/>
    <col min="1025" max="1025" width="2.85546875" style="123" customWidth="1"/>
    <col min="1026" max="1280" width="10.85546875" style="123"/>
    <col min="1281" max="1281" width="2.85546875" style="123" customWidth="1"/>
    <col min="1282" max="1536" width="10.85546875" style="123"/>
    <col min="1537" max="1537" width="2.85546875" style="123" customWidth="1"/>
    <col min="1538" max="1792" width="10.85546875" style="123"/>
    <col min="1793" max="1793" width="2.85546875" style="123" customWidth="1"/>
    <col min="1794" max="2048" width="10.85546875" style="123"/>
    <col min="2049" max="2049" width="2.85546875" style="123" customWidth="1"/>
    <col min="2050" max="2304" width="10.85546875" style="123"/>
    <col min="2305" max="2305" width="2.85546875" style="123" customWidth="1"/>
    <col min="2306" max="2560" width="10.85546875" style="123"/>
    <col min="2561" max="2561" width="2.85546875" style="123" customWidth="1"/>
    <col min="2562" max="2816" width="10.85546875" style="123"/>
    <col min="2817" max="2817" width="2.85546875" style="123" customWidth="1"/>
    <col min="2818" max="3072" width="10.85546875" style="123"/>
    <col min="3073" max="3073" width="2.85546875" style="123" customWidth="1"/>
    <col min="3074" max="3328" width="10.85546875" style="123"/>
    <col min="3329" max="3329" width="2.85546875" style="123" customWidth="1"/>
    <col min="3330" max="3584" width="10.85546875" style="123"/>
    <col min="3585" max="3585" width="2.85546875" style="123" customWidth="1"/>
    <col min="3586" max="3840" width="10.85546875" style="123"/>
    <col min="3841" max="3841" width="2.85546875" style="123" customWidth="1"/>
    <col min="3842" max="4096" width="10.85546875" style="123"/>
    <col min="4097" max="4097" width="2.85546875" style="123" customWidth="1"/>
    <col min="4098" max="4352" width="10.85546875" style="123"/>
    <col min="4353" max="4353" width="2.85546875" style="123" customWidth="1"/>
    <col min="4354" max="4608" width="10.85546875" style="123"/>
    <col min="4609" max="4609" width="2.85546875" style="123" customWidth="1"/>
    <col min="4610" max="4864" width="10.85546875" style="123"/>
    <col min="4865" max="4865" width="2.85546875" style="123" customWidth="1"/>
    <col min="4866" max="5120" width="10.85546875" style="123"/>
    <col min="5121" max="5121" width="2.85546875" style="123" customWidth="1"/>
    <col min="5122" max="5376" width="10.85546875" style="123"/>
    <col min="5377" max="5377" width="2.85546875" style="123" customWidth="1"/>
    <col min="5378" max="5632" width="10.85546875" style="123"/>
    <col min="5633" max="5633" width="2.85546875" style="123" customWidth="1"/>
    <col min="5634" max="5888" width="10.85546875" style="123"/>
    <col min="5889" max="5889" width="2.85546875" style="123" customWidth="1"/>
    <col min="5890" max="6144" width="10.85546875" style="123"/>
    <col min="6145" max="6145" width="2.85546875" style="123" customWidth="1"/>
    <col min="6146" max="6400" width="10.85546875" style="123"/>
    <col min="6401" max="6401" width="2.85546875" style="123" customWidth="1"/>
    <col min="6402" max="6656" width="10.85546875" style="123"/>
    <col min="6657" max="6657" width="2.85546875" style="123" customWidth="1"/>
    <col min="6658" max="6912" width="10.85546875" style="123"/>
    <col min="6913" max="6913" width="2.85546875" style="123" customWidth="1"/>
    <col min="6914" max="7168" width="10.85546875" style="123"/>
    <col min="7169" max="7169" width="2.85546875" style="123" customWidth="1"/>
    <col min="7170" max="7424" width="10.85546875" style="123"/>
    <col min="7425" max="7425" width="2.85546875" style="123" customWidth="1"/>
    <col min="7426" max="7680" width="10.85546875" style="123"/>
    <col min="7681" max="7681" width="2.85546875" style="123" customWidth="1"/>
    <col min="7682" max="7936" width="10.85546875" style="123"/>
    <col min="7937" max="7937" width="2.85546875" style="123" customWidth="1"/>
    <col min="7938" max="8192" width="10.85546875" style="123"/>
    <col min="8193" max="8193" width="2.85546875" style="123" customWidth="1"/>
    <col min="8194" max="8448" width="10.85546875" style="123"/>
    <col min="8449" max="8449" width="2.85546875" style="123" customWidth="1"/>
    <col min="8450" max="8704" width="10.85546875" style="123"/>
    <col min="8705" max="8705" width="2.85546875" style="123" customWidth="1"/>
    <col min="8706" max="8960" width="10.85546875" style="123"/>
    <col min="8961" max="8961" width="2.85546875" style="123" customWidth="1"/>
    <col min="8962" max="9216" width="10.85546875" style="123"/>
    <col min="9217" max="9217" width="2.85546875" style="123" customWidth="1"/>
    <col min="9218" max="9472" width="10.85546875" style="123"/>
    <col min="9473" max="9473" width="2.85546875" style="123" customWidth="1"/>
    <col min="9474" max="9728" width="10.85546875" style="123"/>
    <col min="9729" max="9729" width="2.85546875" style="123" customWidth="1"/>
    <col min="9730" max="9984" width="10.85546875" style="123"/>
    <col min="9985" max="9985" width="2.85546875" style="123" customWidth="1"/>
    <col min="9986" max="10240" width="10.85546875" style="123"/>
    <col min="10241" max="10241" width="2.85546875" style="123" customWidth="1"/>
    <col min="10242" max="10496" width="10.85546875" style="123"/>
    <col min="10497" max="10497" width="2.85546875" style="123" customWidth="1"/>
    <col min="10498" max="10752" width="10.85546875" style="123"/>
    <col min="10753" max="10753" width="2.85546875" style="123" customWidth="1"/>
    <col min="10754" max="11008" width="10.85546875" style="123"/>
    <col min="11009" max="11009" width="2.85546875" style="123" customWidth="1"/>
    <col min="11010" max="11264" width="10.85546875" style="123"/>
    <col min="11265" max="11265" width="2.85546875" style="123" customWidth="1"/>
    <col min="11266" max="11520" width="10.85546875" style="123"/>
    <col min="11521" max="11521" width="2.85546875" style="123" customWidth="1"/>
    <col min="11522" max="11776" width="10.85546875" style="123"/>
    <col min="11777" max="11777" width="2.85546875" style="123" customWidth="1"/>
    <col min="11778" max="12032" width="10.85546875" style="123"/>
    <col min="12033" max="12033" width="2.85546875" style="123" customWidth="1"/>
    <col min="12034" max="12288" width="10.85546875" style="123"/>
    <col min="12289" max="12289" width="2.85546875" style="123" customWidth="1"/>
    <col min="12290" max="12544" width="10.85546875" style="123"/>
    <col min="12545" max="12545" width="2.85546875" style="123" customWidth="1"/>
    <col min="12546" max="12800" width="10.85546875" style="123"/>
    <col min="12801" max="12801" width="2.85546875" style="123" customWidth="1"/>
    <col min="12802" max="13056" width="10.85546875" style="123"/>
    <col min="13057" max="13057" width="2.85546875" style="123" customWidth="1"/>
    <col min="13058" max="13312" width="10.85546875" style="123"/>
    <col min="13313" max="13313" width="2.85546875" style="123" customWidth="1"/>
    <col min="13314" max="13568" width="10.85546875" style="123"/>
    <col min="13569" max="13569" width="2.85546875" style="123" customWidth="1"/>
    <col min="13570" max="13824" width="10.85546875" style="123"/>
    <col min="13825" max="13825" width="2.85546875" style="123" customWidth="1"/>
    <col min="13826" max="14080" width="10.85546875" style="123"/>
    <col min="14081" max="14081" width="2.85546875" style="123" customWidth="1"/>
    <col min="14082" max="14336" width="10.85546875" style="123"/>
    <col min="14337" max="14337" width="2.85546875" style="123" customWidth="1"/>
    <col min="14338" max="14592" width="10.85546875" style="123"/>
    <col min="14593" max="14593" width="2.85546875" style="123" customWidth="1"/>
    <col min="14594" max="14848" width="10.85546875" style="123"/>
    <col min="14849" max="14849" width="2.85546875" style="123" customWidth="1"/>
    <col min="14850" max="15104" width="10.85546875" style="123"/>
    <col min="15105" max="15105" width="2.85546875" style="123" customWidth="1"/>
    <col min="15106" max="15360" width="10.85546875" style="123"/>
    <col min="15361" max="15361" width="2.85546875" style="123" customWidth="1"/>
    <col min="15362" max="15616" width="10.85546875" style="123"/>
    <col min="15617" max="15617" width="2.85546875" style="123" customWidth="1"/>
    <col min="15618" max="15872" width="10.85546875" style="123"/>
    <col min="15873" max="15873" width="2.85546875" style="123" customWidth="1"/>
    <col min="15874" max="16128" width="10.85546875" style="123"/>
    <col min="16129" max="16129" width="2.85546875" style="123" customWidth="1"/>
    <col min="16130" max="16384" width="10.85546875" style="123"/>
  </cols>
  <sheetData>
    <row r="1" spans="2:9" x14ac:dyDescent="0.25">
      <c r="B1" s="83" t="s">
        <v>0</v>
      </c>
    </row>
    <row r="2" spans="2:9" x14ac:dyDescent="0.25">
      <c r="B2" s="83" t="s">
        <v>459</v>
      </c>
    </row>
    <row r="3" spans="2:9" x14ac:dyDescent="0.25">
      <c r="B3" s="83" t="s">
        <v>83</v>
      </c>
    </row>
    <row r="4" spans="2:9" x14ac:dyDescent="0.25">
      <c r="B4" s="83" t="s">
        <v>3</v>
      </c>
    </row>
    <row r="5" spans="2:9" x14ac:dyDescent="0.25">
      <c r="B5" s="85"/>
    </row>
    <row r="6" spans="2:9" x14ac:dyDescent="0.25">
      <c r="B6" s="124" t="s">
        <v>539</v>
      </c>
    </row>
    <row r="7" spans="2:9" x14ac:dyDescent="0.25">
      <c r="B7" s="124"/>
    </row>
    <row r="8" spans="2:9" x14ac:dyDescent="0.25">
      <c r="B8" s="88" t="s">
        <v>540</v>
      </c>
      <c r="C8" s="125"/>
      <c r="D8" s="125"/>
      <c r="E8" s="125"/>
      <c r="F8" s="125"/>
      <c r="G8" s="125"/>
      <c r="H8" s="125"/>
      <c r="I8" s="125"/>
    </row>
    <row r="10" spans="2:9" x14ac:dyDescent="0.25">
      <c r="B10" s="126" t="s">
        <v>541</v>
      </c>
      <c r="C10" s="127"/>
      <c r="D10" s="127"/>
      <c r="E10" s="127"/>
      <c r="F10" s="127"/>
      <c r="G10" s="127"/>
      <c r="H10" s="127"/>
      <c r="I10" s="128"/>
    </row>
    <row r="11" spans="2:9" x14ac:dyDescent="0.25">
      <c r="B11" s="129"/>
      <c r="C11" s="38"/>
      <c r="D11" s="38"/>
      <c r="E11" s="130" t="s">
        <v>542</v>
      </c>
      <c r="F11" s="130" t="s">
        <v>543</v>
      </c>
      <c r="G11" s="130" t="s">
        <v>544</v>
      </c>
      <c r="H11" s="130" t="s">
        <v>545</v>
      </c>
      <c r="I11" s="131" t="s">
        <v>546</v>
      </c>
    </row>
    <row r="12" spans="2:9" x14ac:dyDescent="0.25">
      <c r="B12" s="129" t="s">
        <v>547</v>
      </c>
      <c r="C12" s="38"/>
      <c r="D12" s="38"/>
      <c r="E12" s="38">
        <v>20</v>
      </c>
      <c r="F12" s="38">
        <v>4</v>
      </c>
      <c r="G12" s="38">
        <v>5</v>
      </c>
      <c r="H12" s="38">
        <v>10</v>
      </c>
      <c r="I12" s="132">
        <v>50</v>
      </c>
    </row>
    <row r="13" spans="2:9" x14ac:dyDescent="0.25">
      <c r="B13" s="129" t="s">
        <v>548</v>
      </c>
      <c r="C13" s="38"/>
      <c r="D13" s="38"/>
      <c r="E13" s="133">
        <v>2700</v>
      </c>
      <c r="F13" s="133">
        <v>550</v>
      </c>
      <c r="G13" s="133">
        <v>800</v>
      </c>
      <c r="H13" s="133">
        <v>1700</v>
      </c>
      <c r="I13" s="134">
        <v>6200</v>
      </c>
    </row>
    <row r="14" spans="2:9" x14ac:dyDescent="0.25">
      <c r="B14" s="129" t="s">
        <v>549</v>
      </c>
      <c r="C14" s="38"/>
      <c r="D14" s="38"/>
      <c r="E14" s="135">
        <v>0.06</v>
      </c>
      <c r="F14" s="135">
        <v>0.06</v>
      </c>
      <c r="G14" s="135">
        <v>0.06</v>
      </c>
      <c r="H14" s="135">
        <v>0.06</v>
      </c>
      <c r="I14" s="136">
        <v>0.06</v>
      </c>
    </row>
    <row r="15" spans="2:9" x14ac:dyDescent="0.25">
      <c r="B15" s="129" t="s">
        <v>550</v>
      </c>
      <c r="C15" s="38"/>
      <c r="D15" s="38"/>
      <c r="E15" s="137">
        <v>5</v>
      </c>
      <c r="F15" s="137">
        <v>4</v>
      </c>
      <c r="G15" s="137">
        <v>3</v>
      </c>
      <c r="H15" s="137">
        <v>2</v>
      </c>
      <c r="I15" s="138">
        <v>1</v>
      </c>
    </row>
    <row r="16" spans="2:9" x14ac:dyDescent="0.25">
      <c r="B16" s="129" t="s">
        <v>551</v>
      </c>
      <c r="C16" s="38"/>
      <c r="D16" s="38"/>
      <c r="E16" s="139">
        <f>$E$13*(1+$E$14)^5</f>
        <v>3613.2090595200011</v>
      </c>
      <c r="F16" s="139">
        <f>$F$13*(1+$F$14)^4</f>
        <v>694.36232800000016</v>
      </c>
      <c r="G16" s="139">
        <f>$G$13*(1+$G$14)^3</f>
        <v>952.81280000000027</v>
      </c>
      <c r="H16" s="139">
        <f>$H$13*(1+$H$14)^2</f>
        <v>1910.1200000000003</v>
      </c>
      <c r="I16" s="140">
        <f>$I$13*(1+$I$14)</f>
        <v>6572</v>
      </c>
    </row>
    <row r="17" spans="2:9" x14ac:dyDescent="0.25">
      <c r="B17" s="129" t="s">
        <v>552</v>
      </c>
      <c r="C17" s="38"/>
      <c r="D17" s="38"/>
      <c r="E17" s="139">
        <f>$E$13*(1+$E$14)^5</f>
        <v>3613.2090595200011</v>
      </c>
      <c r="F17" s="139">
        <f>$F$13*(1+$F$14)^4</f>
        <v>694.36232800000016</v>
      </c>
      <c r="G17" s="139">
        <f>$G$13*(1+$G$14)^3</f>
        <v>952.81280000000027</v>
      </c>
      <c r="H17" s="139">
        <f>$H$13*(1+$H$14)^2</f>
        <v>1910.1200000000003</v>
      </c>
      <c r="I17" s="140">
        <f>$I$13*(1+$I$14)</f>
        <v>6572</v>
      </c>
    </row>
    <row r="18" spans="2:9" x14ac:dyDescent="0.25">
      <c r="B18" s="129"/>
      <c r="C18" s="38"/>
      <c r="D18" s="38"/>
      <c r="E18" s="38"/>
      <c r="F18" s="38"/>
      <c r="G18" s="38"/>
      <c r="H18" s="38"/>
      <c r="I18" s="132"/>
    </row>
    <row r="19" spans="2:9" x14ac:dyDescent="0.25">
      <c r="B19" s="161" t="s">
        <v>553</v>
      </c>
      <c r="C19" s="160" t="s">
        <v>554</v>
      </c>
      <c r="D19" s="160" t="s">
        <v>555</v>
      </c>
      <c r="E19" s="160" t="s">
        <v>232</v>
      </c>
      <c r="F19" s="160" t="s">
        <v>556</v>
      </c>
      <c r="G19" s="160" t="s">
        <v>557</v>
      </c>
      <c r="H19" s="160" t="s">
        <v>558</v>
      </c>
      <c r="I19" s="132"/>
    </row>
    <row r="20" spans="2:9" x14ac:dyDescent="0.25">
      <c r="B20" s="161"/>
      <c r="C20" s="160"/>
      <c r="D20" s="160"/>
      <c r="E20" s="160"/>
      <c r="F20" s="160"/>
      <c r="G20" s="160"/>
      <c r="H20" s="160"/>
      <c r="I20" s="132"/>
    </row>
    <row r="21" spans="2:9" x14ac:dyDescent="0.25">
      <c r="B21" s="129">
        <v>2014</v>
      </c>
      <c r="C21" s="141">
        <f>I17</f>
        <v>6572</v>
      </c>
      <c r="D21" s="142">
        <v>7.1999999999999995E-2</v>
      </c>
      <c r="E21" s="143">
        <f>PV(D21,1,-C21)</f>
        <v>6130.5970149253781</v>
      </c>
      <c r="F21" s="143">
        <f>E21/5</f>
        <v>1226.1194029850756</v>
      </c>
      <c r="G21" s="143">
        <f>F21*1</f>
        <v>1226.1194029850756</v>
      </c>
      <c r="H21" s="143">
        <f>E21-G21</f>
        <v>4904.4776119403023</v>
      </c>
      <c r="I21" s="132"/>
    </row>
    <row r="22" spans="2:9" x14ac:dyDescent="0.25">
      <c r="B22" s="129">
        <v>2015</v>
      </c>
      <c r="C22" s="141">
        <f>H17</f>
        <v>1910.1200000000003</v>
      </c>
      <c r="D22" s="142">
        <v>7.4999999999999997E-2</v>
      </c>
      <c r="E22" s="143">
        <f>C22*(1+D22)^-2</f>
        <v>1652.8891292590595</v>
      </c>
      <c r="F22" s="143">
        <f>E22/5</f>
        <v>330.57782585181189</v>
      </c>
      <c r="G22" s="143">
        <f>F22*2</f>
        <v>661.15565170362379</v>
      </c>
      <c r="H22" s="143">
        <f>E22-G22</f>
        <v>991.73347755543568</v>
      </c>
      <c r="I22" s="132"/>
    </row>
    <row r="23" spans="2:9" x14ac:dyDescent="0.25">
      <c r="B23" s="129">
        <v>2016</v>
      </c>
      <c r="C23" s="141">
        <f>G17</f>
        <v>952.81280000000027</v>
      </c>
      <c r="D23" s="142">
        <v>7.8E-2</v>
      </c>
      <c r="E23" s="143">
        <f>C23*(1+D23)^-3</f>
        <v>760.59120681909201</v>
      </c>
      <c r="F23" s="143">
        <f>E23/5</f>
        <v>152.11824136381841</v>
      </c>
      <c r="G23" s="143">
        <f>F23*3</f>
        <v>456.35472409145524</v>
      </c>
      <c r="H23" s="143">
        <f>E23-G23</f>
        <v>304.23648272763677</v>
      </c>
      <c r="I23" s="132"/>
    </row>
    <row r="24" spans="2:9" x14ac:dyDescent="0.25">
      <c r="B24" s="129">
        <v>2017</v>
      </c>
      <c r="C24" s="141">
        <f>F17</f>
        <v>694.36232800000016</v>
      </c>
      <c r="D24" s="142">
        <v>8.1000000000000003E-2</v>
      </c>
      <c r="E24" s="143">
        <f>C24*(1+D24)^-4</f>
        <v>508.49112197540984</v>
      </c>
      <c r="F24" s="143">
        <f>E24/5</f>
        <v>101.69822439508197</v>
      </c>
      <c r="G24" s="143">
        <f>F24*4</f>
        <v>406.79289758032786</v>
      </c>
      <c r="H24" s="143">
        <f>E24-G24</f>
        <v>101.69822439508198</v>
      </c>
      <c r="I24" s="132"/>
    </row>
    <row r="25" spans="2:9" ht="15.75" thickBot="1" x14ac:dyDescent="0.3">
      <c r="B25" s="129"/>
      <c r="C25" s="38"/>
      <c r="D25" s="38"/>
      <c r="E25" s="38"/>
      <c r="F25" s="38"/>
      <c r="G25" s="38"/>
      <c r="H25" s="144">
        <f>SUM(H21:H24)</f>
        <v>6302.1457966184571</v>
      </c>
      <c r="I25" s="132"/>
    </row>
    <row r="26" spans="2:9" ht="8.25" customHeight="1" thickTop="1" x14ac:dyDescent="0.25">
      <c r="B26" s="145"/>
      <c r="C26" s="137"/>
      <c r="D26" s="137"/>
      <c r="E26" s="137"/>
      <c r="F26" s="137"/>
      <c r="G26" s="137"/>
      <c r="H26" s="137"/>
      <c r="I26" s="138"/>
    </row>
    <row r="27" spans="2:9" x14ac:dyDescent="0.25">
      <c r="B27" s="38"/>
      <c r="C27" s="38"/>
      <c r="D27" s="38"/>
      <c r="E27" s="38"/>
      <c r="F27" s="38"/>
      <c r="G27" s="38"/>
      <c r="H27" s="38"/>
      <c r="I27" s="38"/>
    </row>
    <row r="28" spans="2:9" x14ac:dyDescent="0.25">
      <c r="B28" s="126" t="s">
        <v>559</v>
      </c>
      <c r="C28" s="146"/>
      <c r="D28" s="146"/>
      <c r="E28" s="146"/>
      <c r="F28" s="147"/>
    </row>
    <row r="29" spans="2:9" ht="17.25" x14ac:dyDescent="0.4">
      <c r="B29" s="148"/>
      <c r="C29" s="37"/>
      <c r="D29" s="37"/>
      <c r="E29" s="149" t="s">
        <v>510</v>
      </c>
      <c r="F29" s="150" t="s">
        <v>511</v>
      </c>
    </row>
    <row r="30" spans="2:9" x14ac:dyDescent="0.25">
      <c r="B30" s="129" t="str">
        <f>[1]HT!A137</f>
        <v xml:space="preserve">  Ganancias retenidas</v>
      </c>
      <c r="C30" s="38"/>
      <c r="D30" s="38"/>
      <c r="E30" s="143">
        <f>H25</f>
        <v>6302.1457966184571</v>
      </c>
      <c r="F30" s="132"/>
    </row>
    <row r="31" spans="2:9" x14ac:dyDescent="0.25">
      <c r="B31" s="129" t="str">
        <f>[1]HT!A109</f>
        <v xml:space="preserve">  Largo plazo - Prima de antigüedad</v>
      </c>
      <c r="C31" s="38"/>
      <c r="D31" s="38"/>
      <c r="E31" s="38"/>
      <c r="F31" s="151">
        <f>E30</f>
        <v>6302.1457966184571</v>
      </c>
    </row>
    <row r="32" spans="2:9" ht="15.75" thickBot="1" x14ac:dyDescent="0.3">
      <c r="B32" s="152" t="s">
        <v>131</v>
      </c>
      <c r="C32" s="153"/>
      <c r="D32" s="153"/>
      <c r="E32" s="144">
        <f>SUM(E30:E31)</f>
        <v>6302.1457966184571</v>
      </c>
      <c r="F32" s="154">
        <f>SUM(F31)</f>
        <v>6302.1457966184571</v>
      </c>
    </row>
    <row r="33" ht="15.75" thickTop="1" x14ac:dyDescent="0.25"/>
  </sheetData>
  <mergeCells count="7">
    <mergeCell ref="H19:H20"/>
    <mergeCell ref="B19:B20"/>
    <mergeCell ref="C19:C20"/>
    <mergeCell ref="D19:D20"/>
    <mergeCell ref="E19:E20"/>
    <mergeCell ref="F19:F20"/>
    <mergeCell ref="G19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E27" sqref="E27"/>
    </sheetView>
  </sheetViews>
  <sheetFormatPr baseColWidth="10" defaultRowHeight="15" x14ac:dyDescent="0.25"/>
  <cols>
    <col min="1" max="1" width="2.7109375" customWidth="1"/>
    <col min="2" max="2" width="28.7109375" customWidth="1"/>
    <col min="4" max="4" width="13.5703125" customWidth="1"/>
    <col min="5" max="5" width="14.85546875" customWidth="1"/>
  </cols>
  <sheetData>
    <row r="2" spans="2:3" x14ac:dyDescent="0.25">
      <c r="B2" s="65" t="s">
        <v>145</v>
      </c>
    </row>
    <row r="4" spans="2:3" x14ac:dyDescent="0.25">
      <c r="B4" t="s">
        <v>134</v>
      </c>
      <c r="C4" t="s">
        <v>146</v>
      </c>
    </row>
    <row r="6" spans="2:3" x14ac:dyDescent="0.25">
      <c r="B6" t="s">
        <v>147</v>
      </c>
      <c r="C6" t="s">
        <v>148</v>
      </c>
    </row>
    <row r="7" spans="2:3" x14ac:dyDescent="0.25">
      <c r="C7" t="s">
        <v>149</v>
      </c>
    </row>
    <row r="10" spans="2:3" x14ac:dyDescent="0.25">
      <c r="B10" t="s">
        <v>150</v>
      </c>
    </row>
    <row r="12" spans="2:3" x14ac:dyDescent="0.25">
      <c r="B12" t="s">
        <v>151</v>
      </c>
      <c r="C12" s="70">
        <v>41306</v>
      </c>
    </row>
    <row r="13" spans="2:3" x14ac:dyDescent="0.25">
      <c r="B13" t="s">
        <v>152</v>
      </c>
      <c r="C13" s="70">
        <v>42185</v>
      </c>
    </row>
    <row r="14" spans="2:3" x14ac:dyDescent="0.25">
      <c r="B14" t="s">
        <v>153</v>
      </c>
      <c r="C14">
        <v>2</v>
      </c>
    </row>
    <row r="15" spans="2:3" x14ac:dyDescent="0.25">
      <c r="B15" t="s">
        <v>154</v>
      </c>
      <c r="C15">
        <v>6500</v>
      </c>
    </row>
    <row r="16" spans="2:3" x14ac:dyDescent="0.25">
      <c r="B16" t="s">
        <v>155</v>
      </c>
      <c r="C16">
        <v>6700</v>
      </c>
    </row>
    <row r="17" spans="2:6" x14ac:dyDescent="0.25">
      <c r="B17" t="s">
        <v>156</v>
      </c>
      <c r="C17" s="71">
        <v>0.12</v>
      </c>
      <c r="D17" t="s">
        <v>157</v>
      </c>
      <c r="E17" t="s">
        <v>162</v>
      </c>
      <c r="F17">
        <f>+C14*C15*C17</f>
        <v>1560</v>
      </c>
    </row>
    <row r="18" spans="2:6" x14ac:dyDescent="0.25">
      <c r="B18" t="s">
        <v>158</v>
      </c>
      <c r="C18">
        <v>900</v>
      </c>
    </row>
    <row r="21" spans="2:6" x14ac:dyDescent="0.25">
      <c r="B21" t="s">
        <v>159</v>
      </c>
    </row>
    <row r="23" spans="2:6" x14ac:dyDescent="0.25">
      <c r="B23" t="s">
        <v>160</v>
      </c>
      <c r="C23">
        <f>+(C16*C14)+C18</f>
        <v>14300</v>
      </c>
      <c r="D23" s="70">
        <v>41306</v>
      </c>
    </row>
    <row r="25" spans="2:6" x14ac:dyDescent="0.25">
      <c r="B25" t="s">
        <v>161</v>
      </c>
    </row>
    <row r="27" spans="2:6" x14ac:dyDescent="0.25">
      <c r="C27">
        <f>+F17</f>
        <v>1560</v>
      </c>
      <c r="D27" s="70">
        <v>41455</v>
      </c>
    </row>
    <row r="28" spans="2:6" x14ac:dyDescent="0.25">
      <c r="C28">
        <f>+C27</f>
        <v>1560</v>
      </c>
      <c r="D28" s="70">
        <v>41820</v>
      </c>
    </row>
    <row r="29" spans="2:6" x14ac:dyDescent="0.25">
      <c r="C29">
        <f>+C28+(C15*C14)</f>
        <v>14560</v>
      </c>
      <c r="D29" s="70">
        <v>42185</v>
      </c>
    </row>
    <row r="32" spans="2:6" x14ac:dyDescent="0.25">
      <c r="B32" t="s">
        <v>163</v>
      </c>
    </row>
    <row r="34" spans="2:5" x14ac:dyDescent="0.25">
      <c r="B34" s="70">
        <v>41306</v>
      </c>
      <c r="C34">
        <f>-C23</f>
        <v>-14300</v>
      </c>
    </row>
    <row r="35" spans="2:5" x14ac:dyDescent="0.25">
      <c r="B35" s="70">
        <v>41455</v>
      </c>
      <c r="C35">
        <f>+C27</f>
        <v>1560</v>
      </c>
    </row>
    <row r="36" spans="2:5" x14ac:dyDescent="0.25">
      <c r="B36" s="70">
        <v>41820</v>
      </c>
      <c r="C36">
        <f t="shared" ref="C36:C37" si="0">+C28</f>
        <v>1560</v>
      </c>
    </row>
    <row r="37" spans="2:5" x14ac:dyDescent="0.25">
      <c r="B37" s="70">
        <v>42185</v>
      </c>
      <c r="C37">
        <f t="shared" si="0"/>
        <v>14560</v>
      </c>
    </row>
    <row r="39" spans="2:5" x14ac:dyDescent="0.25">
      <c r="C39" s="73">
        <f>XIRR(C34:C37,B34:B37)</f>
        <v>0.10504515767097478</v>
      </c>
      <c r="D39" t="s">
        <v>164</v>
      </c>
    </row>
    <row r="42" spans="2:5" x14ac:dyDescent="0.25">
      <c r="B42" t="s">
        <v>165</v>
      </c>
    </row>
    <row r="44" spans="2:5" x14ac:dyDescent="0.25">
      <c r="B44" s="70">
        <v>41639</v>
      </c>
    </row>
    <row r="45" spans="2:5" x14ac:dyDescent="0.25">
      <c r="C45" t="s">
        <v>166</v>
      </c>
      <c r="D45" t="s">
        <v>167</v>
      </c>
      <c r="E45" t="s">
        <v>168</v>
      </c>
    </row>
    <row r="46" spans="2:5" x14ac:dyDescent="0.25">
      <c r="B46" s="70">
        <v>41820</v>
      </c>
      <c r="C46">
        <f>+C36</f>
        <v>1560</v>
      </c>
      <c r="D46" s="66">
        <f>+B46-B44</f>
        <v>181</v>
      </c>
      <c r="E46" s="68">
        <f>+C46/(1+$C$39)^(D46/365)</f>
        <v>1484.6116339556579</v>
      </c>
    </row>
    <row r="47" spans="2:5" x14ac:dyDescent="0.25">
      <c r="B47" s="70">
        <v>42185</v>
      </c>
      <c r="C47">
        <f>+C37</f>
        <v>14560</v>
      </c>
      <c r="D47" s="66">
        <f>+B47-B44</f>
        <v>546</v>
      </c>
      <c r="E47" s="68">
        <f>+C47/(1+$C$39)^(D47/365)</f>
        <v>12539.193673729051</v>
      </c>
    </row>
    <row r="48" spans="2:5" x14ac:dyDescent="0.25">
      <c r="C48" s="65" t="s">
        <v>169</v>
      </c>
      <c r="E48" s="75">
        <f>+E46+E47</f>
        <v>14023.805307684708</v>
      </c>
    </row>
    <row r="49" spans="2:5" x14ac:dyDescent="0.25">
      <c r="C49" t="s">
        <v>170</v>
      </c>
      <c r="E49">
        <f>+HT!C19</f>
        <v>13400</v>
      </c>
    </row>
    <row r="50" spans="2:5" x14ac:dyDescent="0.25">
      <c r="C50" s="65" t="s">
        <v>171</v>
      </c>
      <c r="E50" s="75">
        <f>+E48-E49</f>
        <v>623.80530768470817</v>
      </c>
    </row>
    <row r="53" spans="2:5" x14ac:dyDescent="0.25">
      <c r="B53" t="s">
        <v>172</v>
      </c>
    </row>
    <row r="56" spans="2:5" x14ac:dyDescent="0.25">
      <c r="B56" t="s">
        <v>173</v>
      </c>
      <c r="C56" s="74">
        <f>+E48</f>
        <v>14023.805307684708</v>
      </c>
    </row>
    <row r="57" spans="2:5" x14ac:dyDescent="0.25">
      <c r="B57" t="s">
        <v>174</v>
      </c>
    </row>
    <row r="59" spans="2:5" x14ac:dyDescent="0.25">
      <c r="B59" t="s">
        <v>175</v>
      </c>
      <c r="D59">
        <f>+E49</f>
        <v>13400</v>
      </c>
    </row>
    <row r="60" spans="2:5" x14ac:dyDescent="0.25">
      <c r="B60" t="s">
        <v>176</v>
      </c>
    </row>
    <row r="62" spans="2:5" x14ac:dyDescent="0.25">
      <c r="B62" t="s">
        <v>177</v>
      </c>
      <c r="D62" s="74">
        <f>+E50</f>
        <v>623.80530768470817</v>
      </c>
    </row>
    <row r="63" spans="2:5" x14ac:dyDescent="0.25">
      <c r="B63" t="s">
        <v>178</v>
      </c>
    </row>
    <row r="64" spans="2:5" ht="15.75" thickBot="1" x14ac:dyDescent="0.3">
      <c r="C64" s="76">
        <f>SUM(C56:C63)</f>
        <v>14023.805307684708</v>
      </c>
      <c r="D64" s="76">
        <f>SUM(D56:D63)</f>
        <v>14023.805307684708</v>
      </c>
    </row>
    <row r="6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opLeftCell="A15" zoomScale="120" zoomScaleNormal="120" workbookViewId="0">
      <selection activeCell="C16" sqref="C16"/>
    </sheetView>
  </sheetViews>
  <sheetFormatPr baseColWidth="10" defaultRowHeight="15" x14ac:dyDescent="0.25"/>
  <cols>
    <col min="1" max="1" width="1.85546875" customWidth="1"/>
    <col min="3" max="3" width="39.5703125" customWidth="1"/>
  </cols>
  <sheetData>
    <row r="2" spans="2:4" x14ac:dyDescent="0.25">
      <c r="B2" s="65" t="s">
        <v>183</v>
      </c>
    </row>
    <row r="4" spans="2:4" x14ac:dyDescent="0.25">
      <c r="B4" t="s">
        <v>134</v>
      </c>
      <c r="C4" t="s">
        <v>146</v>
      </c>
    </row>
    <row r="6" spans="2:4" x14ac:dyDescent="0.25">
      <c r="B6" t="s">
        <v>147</v>
      </c>
      <c r="C6" t="s">
        <v>184</v>
      </c>
    </row>
    <row r="7" spans="2:4" x14ac:dyDescent="0.25">
      <c r="C7" t="s">
        <v>185</v>
      </c>
    </row>
    <row r="8" spans="2:4" x14ac:dyDescent="0.25">
      <c r="C8" t="s">
        <v>186</v>
      </c>
    </row>
    <row r="10" spans="2:4" x14ac:dyDescent="0.25">
      <c r="B10" t="s">
        <v>187</v>
      </c>
    </row>
    <row r="11" spans="2:4" x14ac:dyDescent="0.25">
      <c r="C11" t="s">
        <v>188</v>
      </c>
      <c r="D11">
        <v>150</v>
      </c>
    </row>
    <row r="12" spans="2:4" x14ac:dyDescent="0.25">
      <c r="C12" t="s">
        <v>189</v>
      </c>
      <c r="D12">
        <v>57</v>
      </c>
    </row>
    <row r="14" spans="2:4" x14ac:dyDescent="0.25">
      <c r="C14" t="s">
        <v>190</v>
      </c>
      <c r="D14">
        <f>+HT!C20</f>
        <v>8000</v>
      </c>
    </row>
    <row r="16" spans="2:4" x14ac:dyDescent="0.25">
      <c r="B16" t="s">
        <v>191</v>
      </c>
    </row>
    <row r="18" spans="2:5" x14ac:dyDescent="0.25">
      <c r="C18" t="s">
        <v>153</v>
      </c>
      <c r="D18">
        <f>+D11</f>
        <v>150</v>
      </c>
    </row>
    <row r="19" spans="2:5" x14ac:dyDescent="0.25">
      <c r="C19" t="s">
        <v>192</v>
      </c>
      <c r="D19">
        <f>+D12</f>
        <v>57</v>
      </c>
    </row>
    <row r="20" spans="2:5" x14ac:dyDescent="0.25">
      <c r="C20" t="s">
        <v>169</v>
      </c>
      <c r="D20">
        <f>+D18*D19</f>
        <v>8550</v>
      </c>
    </row>
    <row r="21" spans="2:5" x14ac:dyDescent="0.25">
      <c r="C21" t="s">
        <v>170</v>
      </c>
      <c r="D21">
        <f>+D14</f>
        <v>8000</v>
      </c>
    </row>
    <row r="22" spans="2:5" x14ac:dyDescent="0.25">
      <c r="C22" t="s">
        <v>193</v>
      </c>
      <c r="D22">
        <f>+D20-D21</f>
        <v>550</v>
      </c>
    </row>
    <row r="25" spans="2:5" x14ac:dyDescent="0.25">
      <c r="B25" t="s">
        <v>194</v>
      </c>
    </row>
    <row r="27" spans="2:5" x14ac:dyDescent="0.25">
      <c r="C27" t="s">
        <v>173</v>
      </c>
      <c r="D27">
        <f>+D20</f>
        <v>8550</v>
      </c>
    </row>
    <row r="28" spans="2:5" x14ac:dyDescent="0.25">
      <c r="C28" t="s">
        <v>195</v>
      </c>
    </row>
    <row r="29" spans="2:5" x14ac:dyDescent="0.25">
      <c r="C29" t="s">
        <v>175</v>
      </c>
      <c r="E29">
        <f>+D21</f>
        <v>8000</v>
      </c>
    </row>
    <row r="30" spans="2:5" x14ac:dyDescent="0.25">
      <c r="C30" t="s">
        <v>196</v>
      </c>
    </row>
    <row r="31" spans="2:5" x14ac:dyDescent="0.25">
      <c r="C31" t="s">
        <v>177</v>
      </c>
      <c r="E31">
        <f>+D22</f>
        <v>550</v>
      </c>
    </row>
    <row r="32" spans="2:5" ht="15.75" thickBot="1" x14ac:dyDescent="0.3">
      <c r="D32" s="78">
        <f>SUM(D27:D31)</f>
        <v>8550</v>
      </c>
      <c r="E32" s="78">
        <f>SUM(E27:E31)</f>
        <v>8550</v>
      </c>
    </row>
    <row r="33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"/>
  <sheetViews>
    <sheetView zoomScale="130" zoomScaleNormal="130" workbookViewId="0">
      <selection activeCell="D19" sqref="D19"/>
    </sheetView>
  </sheetViews>
  <sheetFormatPr baseColWidth="10" defaultRowHeight="15" x14ac:dyDescent="0.25"/>
  <cols>
    <col min="1" max="1" width="3.5703125" style="68" customWidth="1"/>
    <col min="2" max="2" width="11.42578125" style="68"/>
    <col min="3" max="3" width="24.28515625" style="68" customWidth="1"/>
    <col min="4" max="16384" width="11.42578125" style="68"/>
  </cols>
  <sheetData>
    <row r="2" spans="2:5" x14ac:dyDescent="0.25">
      <c r="B2" s="67" t="s">
        <v>199</v>
      </c>
    </row>
    <row r="4" spans="2:5" x14ac:dyDescent="0.25">
      <c r="B4" s="68" t="s">
        <v>200</v>
      </c>
      <c r="C4" s="68" t="s">
        <v>146</v>
      </c>
    </row>
    <row r="6" spans="2:5" x14ac:dyDescent="0.25">
      <c r="B6" s="68" t="s">
        <v>201</v>
      </c>
      <c r="C6" s="68" t="s">
        <v>202</v>
      </c>
    </row>
    <row r="7" spans="2:5" x14ac:dyDescent="0.25">
      <c r="C7" s="68" t="s">
        <v>203</v>
      </c>
    </row>
    <row r="10" spans="2:5" x14ac:dyDescent="0.25">
      <c r="B10" s="68" t="s">
        <v>204</v>
      </c>
      <c r="C10" s="68" t="s">
        <v>205</v>
      </c>
      <c r="D10" s="68">
        <v>5</v>
      </c>
    </row>
    <row r="11" spans="2:5" x14ac:dyDescent="0.25">
      <c r="C11" s="68" t="s">
        <v>206</v>
      </c>
      <c r="D11" s="68">
        <v>6</v>
      </c>
      <c r="E11" s="68" t="s">
        <v>207</v>
      </c>
    </row>
    <row r="12" spans="2:5" x14ac:dyDescent="0.25">
      <c r="C12" s="68" t="s">
        <v>208</v>
      </c>
      <c r="D12" s="68">
        <v>1</v>
      </c>
      <c r="E12" s="68" t="s">
        <v>207</v>
      </c>
    </row>
    <row r="13" spans="2:5" x14ac:dyDescent="0.25">
      <c r="C13" s="68" t="s">
        <v>209</v>
      </c>
      <c r="D13" s="68">
        <v>10000</v>
      </c>
    </row>
    <row r="18" spans="3:7" x14ac:dyDescent="0.25">
      <c r="C18" s="68" t="s">
        <v>210</v>
      </c>
      <c r="D18" s="68">
        <f>+D13</f>
        <v>10000</v>
      </c>
    </row>
    <row r="19" spans="3:7" x14ac:dyDescent="0.25">
      <c r="C19" s="68" t="s">
        <v>211</v>
      </c>
      <c r="E19" s="68">
        <v>9250</v>
      </c>
    </row>
    <row r="20" spans="3:7" x14ac:dyDescent="0.25">
      <c r="C20" s="68" t="s">
        <v>212</v>
      </c>
      <c r="E20" s="68">
        <f>+D18-E19</f>
        <v>750</v>
      </c>
    </row>
    <row r="22" spans="3:7" x14ac:dyDescent="0.25">
      <c r="C22" s="68" t="s">
        <v>213</v>
      </c>
    </row>
    <row r="23" spans="3:7" x14ac:dyDescent="0.25">
      <c r="C23" s="68">
        <v>0</v>
      </c>
      <c r="D23" s="68">
        <f>-E19</f>
        <v>-9250</v>
      </c>
    </row>
    <row r="24" spans="3:7" x14ac:dyDescent="0.25">
      <c r="C24" s="68">
        <v>1</v>
      </c>
      <c r="D24" s="68">
        <f>+D18</f>
        <v>10000</v>
      </c>
    </row>
    <row r="26" spans="3:7" x14ac:dyDescent="0.25">
      <c r="D26" s="73">
        <f>IRR(D23:D24)</f>
        <v>8.1081081081080919E-2</v>
      </c>
      <c r="E26" s="68">
        <v>5</v>
      </c>
      <c r="F26" s="68" t="s">
        <v>207</v>
      </c>
    </row>
    <row r="27" spans="3:7" x14ac:dyDescent="0.25">
      <c r="D27" s="73">
        <f>+(1+D26)^(1/5)-1</f>
        <v>1.5714502603950908E-2</v>
      </c>
      <c r="E27" s="68" t="s">
        <v>214</v>
      </c>
    </row>
    <row r="29" spans="3:7" x14ac:dyDescent="0.25">
      <c r="G29" s="68" t="s">
        <v>227</v>
      </c>
    </row>
    <row r="30" spans="3:7" x14ac:dyDescent="0.25">
      <c r="C30" s="68" t="s">
        <v>215</v>
      </c>
      <c r="D30" s="68">
        <f>+E19</f>
        <v>9250</v>
      </c>
      <c r="G30" s="68" t="s">
        <v>228</v>
      </c>
    </row>
    <row r="31" spans="3:7" x14ac:dyDescent="0.25">
      <c r="C31" s="68" t="s">
        <v>216</v>
      </c>
      <c r="D31" s="68">
        <f>+D30*D27</f>
        <v>145.3591490865459</v>
      </c>
      <c r="E31" s="68" t="s">
        <v>217</v>
      </c>
      <c r="G31" s="68">
        <f>+E20-D31</f>
        <v>604.64085091345407</v>
      </c>
    </row>
    <row r="32" spans="3:7" x14ac:dyDescent="0.25">
      <c r="C32" s="68" t="s">
        <v>218</v>
      </c>
      <c r="D32" s="68">
        <f>+D30+D31</f>
        <v>9395.3591490865456</v>
      </c>
    </row>
    <row r="33" spans="3:5" x14ac:dyDescent="0.25">
      <c r="C33" s="68" t="s">
        <v>219</v>
      </c>
      <c r="D33" s="68">
        <f>+D32*D27</f>
        <v>147.64339581337453</v>
      </c>
      <c r="E33" s="68" t="s">
        <v>220</v>
      </c>
    </row>
    <row r="34" spans="3:5" x14ac:dyDescent="0.25">
      <c r="C34" s="68" t="s">
        <v>218</v>
      </c>
      <c r="D34" s="68">
        <f>+D32+D33</f>
        <v>9543.0025448999204</v>
      </c>
    </row>
    <row r="35" spans="3:5" x14ac:dyDescent="0.25">
      <c r="C35" s="68" t="s">
        <v>221</v>
      </c>
      <c r="D35" s="68">
        <f>+D34*D27</f>
        <v>149.96353834133996</v>
      </c>
      <c r="E35" s="68" t="s">
        <v>222</v>
      </c>
    </row>
    <row r="36" spans="3:5" x14ac:dyDescent="0.25">
      <c r="C36" s="68" t="s">
        <v>218</v>
      </c>
      <c r="D36" s="68">
        <f>+D34+D35</f>
        <v>9692.966083241261</v>
      </c>
    </row>
    <row r="37" spans="3:5" x14ac:dyDescent="0.25">
      <c r="C37" s="68" t="s">
        <v>223</v>
      </c>
      <c r="D37" s="68">
        <f>+D36*D27</f>
        <v>152.32014075510264</v>
      </c>
      <c r="E37" s="68" t="s">
        <v>224</v>
      </c>
    </row>
    <row r="38" spans="3:5" x14ac:dyDescent="0.25">
      <c r="C38" s="68" t="s">
        <v>218</v>
      </c>
      <c r="D38" s="68">
        <f>+D36+D37</f>
        <v>9845.2862239963633</v>
      </c>
    </row>
    <row r="39" spans="3:5" x14ac:dyDescent="0.25">
      <c r="C39" s="68" t="s">
        <v>225</v>
      </c>
      <c r="D39" s="68">
        <f>+D38*D27</f>
        <v>154.71377600363286</v>
      </c>
      <c r="E39" s="68" t="s">
        <v>226</v>
      </c>
    </row>
    <row r="41" spans="3:5" x14ac:dyDescent="0.25">
      <c r="D41" s="68">
        <f>+D31+D33+D35+D37+D39</f>
        <v>749.99999999999591</v>
      </c>
    </row>
    <row r="44" spans="3:5" x14ac:dyDescent="0.25">
      <c r="C44" s="68" t="s">
        <v>229</v>
      </c>
      <c r="D44" s="68">
        <f>+D41</f>
        <v>749.99999999999591</v>
      </c>
    </row>
    <row r="45" spans="3:5" x14ac:dyDescent="0.25">
      <c r="C45" s="68" t="s">
        <v>230</v>
      </c>
      <c r="D45" s="68">
        <v>4</v>
      </c>
    </row>
    <row r="46" spans="3:5" x14ac:dyDescent="0.25">
      <c r="C46" s="68" t="s">
        <v>156</v>
      </c>
      <c r="D46" s="73">
        <f>+D27</f>
        <v>1.5714502603950908E-2</v>
      </c>
    </row>
    <row r="47" spans="3:5" x14ac:dyDescent="0.25">
      <c r="C47" s="68" t="s">
        <v>231</v>
      </c>
      <c r="D47" s="68">
        <f>+D24</f>
        <v>10000</v>
      </c>
    </row>
    <row r="48" spans="3:5" x14ac:dyDescent="0.25">
      <c r="C48" s="68" t="s">
        <v>232</v>
      </c>
      <c r="D48" s="68">
        <f>+D47/(1+D46)^D45</f>
        <v>9395.359149086551</v>
      </c>
    </row>
    <row r="49" spans="2:5" x14ac:dyDescent="0.25">
      <c r="C49" s="68" t="s">
        <v>170</v>
      </c>
      <c r="D49" s="68">
        <f>+D47</f>
        <v>10000</v>
      </c>
    </row>
    <row r="50" spans="2:5" x14ac:dyDescent="0.25">
      <c r="C50" s="68" t="s">
        <v>233</v>
      </c>
      <c r="D50" s="68">
        <f>+D48-D49</f>
        <v>-604.64085091344896</v>
      </c>
    </row>
    <row r="54" spans="2:5" x14ac:dyDescent="0.25">
      <c r="B54" s="68" t="s">
        <v>234</v>
      </c>
    </row>
    <row r="57" spans="2:5" x14ac:dyDescent="0.25">
      <c r="B57" s="68" t="s">
        <v>235</v>
      </c>
      <c r="D57" s="68">
        <f>+G31</f>
        <v>604.64085091345407</v>
      </c>
    </row>
    <row r="58" spans="2:5" x14ac:dyDescent="0.25">
      <c r="B58" s="68" t="s">
        <v>236</v>
      </c>
      <c r="E58" s="68">
        <f>+D57</f>
        <v>604.64085091345407</v>
      </c>
    </row>
    <row r="60" spans="2:5" ht="15.75" thickBot="1" x14ac:dyDescent="0.3">
      <c r="D60" s="69">
        <f>SUM(D57:D59)</f>
        <v>604.64085091345407</v>
      </c>
      <c r="E60" s="69">
        <f>SUM(E57:E59)</f>
        <v>604.64085091345407</v>
      </c>
    </row>
    <row r="61" spans="2:5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="120" zoomScaleNormal="120" workbookViewId="0">
      <selection activeCell="E19" sqref="E19"/>
    </sheetView>
  </sheetViews>
  <sheetFormatPr baseColWidth="10" defaultRowHeight="15" x14ac:dyDescent="0.25"/>
  <sheetData>
    <row r="2" spans="2:7" s="68" customFormat="1" x14ac:dyDescent="0.25">
      <c r="B2" s="67" t="s">
        <v>239</v>
      </c>
    </row>
    <row r="3" spans="2:7" s="68" customFormat="1" x14ac:dyDescent="0.25"/>
    <row r="4" spans="2:7" s="68" customFormat="1" x14ac:dyDescent="0.25">
      <c r="B4" s="68" t="s">
        <v>200</v>
      </c>
      <c r="C4" s="68" t="s">
        <v>240</v>
      </c>
    </row>
    <row r="5" spans="2:7" s="68" customFormat="1" x14ac:dyDescent="0.25"/>
    <row r="6" spans="2:7" s="68" customFormat="1" x14ac:dyDescent="0.25">
      <c r="B6" s="68" t="s">
        <v>201</v>
      </c>
      <c r="C6" s="68" t="s">
        <v>241</v>
      </c>
    </row>
    <row r="7" spans="2:7" s="68" customFormat="1" x14ac:dyDescent="0.25">
      <c r="C7" s="68" t="s">
        <v>242</v>
      </c>
    </row>
    <row r="8" spans="2:7" s="68" customFormat="1" x14ac:dyDescent="0.25"/>
    <row r="10" spans="2:7" x14ac:dyDescent="0.25">
      <c r="B10" t="s">
        <v>243</v>
      </c>
    </row>
    <row r="11" spans="2:7" x14ac:dyDescent="0.25">
      <c r="C11" t="s">
        <v>244</v>
      </c>
      <c r="F11">
        <f>+HT!C29</f>
        <v>800</v>
      </c>
      <c r="G11" t="s">
        <v>245</v>
      </c>
    </row>
    <row r="12" spans="2:7" x14ac:dyDescent="0.25">
      <c r="C12" t="s">
        <v>246</v>
      </c>
      <c r="F12">
        <f>+HT!C30</f>
        <v>7000</v>
      </c>
      <c r="G12" t="s">
        <v>247</v>
      </c>
    </row>
    <row r="15" spans="2:7" x14ac:dyDescent="0.25">
      <c r="B15" t="s">
        <v>248</v>
      </c>
    </row>
    <row r="17" spans="2:6" x14ac:dyDescent="0.25">
      <c r="B17" t="s">
        <v>235</v>
      </c>
      <c r="E17">
        <f>+F11</f>
        <v>800</v>
      </c>
    </row>
    <row r="19" spans="2:6" x14ac:dyDescent="0.25">
      <c r="B19" t="s">
        <v>249</v>
      </c>
      <c r="E19">
        <f>+F12</f>
        <v>7000</v>
      </c>
    </row>
    <row r="20" spans="2:6" x14ac:dyDescent="0.25">
      <c r="B20" t="s">
        <v>250</v>
      </c>
    </row>
    <row r="22" spans="2:6" x14ac:dyDescent="0.25">
      <c r="B22" t="s">
        <v>251</v>
      </c>
    </row>
    <row r="23" spans="2:6" x14ac:dyDescent="0.25">
      <c r="B23" t="str">
        <f>+HT!B29</f>
        <v xml:space="preserve">  Anticipos gastos de viaje - Empleados</v>
      </c>
      <c r="F23">
        <f>+F11</f>
        <v>800</v>
      </c>
    </row>
    <row r="24" spans="2:6" x14ac:dyDescent="0.25">
      <c r="B24" t="str">
        <f>+HT!B30</f>
        <v xml:space="preserve">  Anticipos - Compra de PPE</v>
      </c>
      <c r="F24">
        <f>+F12</f>
        <v>7000</v>
      </c>
    </row>
    <row r="26" spans="2:6" ht="15.75" thickBot="1" x14ac:dyDescent="0.3">
      <c r="E26" s="78">
        <f>SUM(E17:E25)</f>
        <v>7800</v>
      </c>
      <c r="F26" s="78">
        <f>SUM(F19:F25)</f>
        <v>7800</v>
      </c>
    </row>
    <row r="27" spans="2:6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zoomScale="130" zoomScaleNormal="130" workbookViewId="0">
      <selection activeCell="D14" sqref="D14:E14"/>
    </sheetView>
  </sheetViews>
  <sheetFormatPr baseColWidth="10" defaultRowHeight="15" x14ac:dyDescent="0.25"/>
  <sheetData>
    <row r="2" spans="2:5" s="68" customFormat="1" x14ac:dyDescent="0.25">
      <c r="B2" s="67" t="s">
        <v>254</v>
      </c>
    </row>
    <row r="3" spans="2:5" s="68" customFormat="1" x14ac:dyDescent="0.25"/>
    <row r="4" spans="2:5" s="68" customFormat="1" x14ac:dyDescent="0.25">
      <c r="B4" s="68" t="s">
        <v>200</v>
      </c>
      <c r="C4" s="68" t="s">
        <v>255</v>
      </c>
      <c r="D4" s="68" t="s">
        <v>260</v>
      </c>
    </row>
    <row r="5" spans="2:5" s="68" customFormat="1" x14ac:dyDescent="0.25"/>
    <row r="6" spans="2:5" s="68" customFormat="1" x14ac:dyDescent="0.25">
      <c r="B6" s="68" t="s">
        <v>201</v>
      </c>
      <c r="C6" s="68" t="s">
        <v>256</v>
      </c>
    </row>
    <row r="8" spans="2:5" x14ac:dyDescent="0.25">
      <c r="B8" t="s">
        <v>257</v>
      </c>
    </row>
    <row r="10" spans="2:5" x14ac:dyDescent="0.25">
      <c r="B10" t="s">
        <v>235</v>
      </c>
      <c r="D10">
        <f>+HT!C31</f>
        <v>1000</v>
      </c>
    </row>
    <row r="12" spans="2:5" x14ac:dyDescent="0.25">
      <c r="B12" t="s">
        <v>251</v>
      </c>
      <c r="E12">
        <f>+D10</f>
        <v>1000</v>
      </c>
    </row>
    <row r="13" spans="2:5" x14ac:dyDescent="0.25">
      <c r="B13" t="s">
        <v>258</v>
      </c>
    </row>
    <row r="14" spans="2:5" ht="15.75" thickBot="1" x14ac:dyDescent="0.3">
      <c r="D14" s="78">
        <f>SUM(D10:D13)</f>
        <v>1000</v>
      </c>
      <c r="E14" s="78">
        <f>SUM(E10:E13)</f>
        <v>1000</v>
      </c>
    </row>
    <row r="15" spans="2:5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opLeftCell="A19" workbookViewId="0">
      <selection activeCell="D41" sqref="D41"/>
    </sheetView>
  </sheetViews>
  <sheetFormatPr baseColWidth="10" defaultRowHeight="15" x14ac:dyDescent="0.25"/>
  <cols>
    <col min="2" max="2" width="25.140625" customWidth="1"/>
  </cols>
  <sheetData>
    <row r="2" spans="2:5" s="68" customFormat="1" x14ac:dyDescent="0.25">
      <c r="B2" s="67" t="s">
        <v>261</v>
      </c>
    </row>
    <row r="3" spans="2:5" s="68" customFormat="1" x14ac:dyDescent="0.25"/>
    <row r="4" spans="2:5" s="68" customFormat="1" x14ac:dyDescent="0.25">
      <c r="B4" s="68" t="s">
        <v>200</v>
      </c>
      <c r="C4" s="68" t="s">
        <v>255</v>
      </c>
      <c r="D4" s="68" t="s">
        <v>80</v>
      </c>
    </row>
    <row r="5" spans="2:5" s="68" customFormat="1" x14ac:dyDescent="0.25"/>
    <row r="6" spans="2:5" s="68" customFormat="1" x14ac:dyDescent="0.25">
      <c r="B6" s="68" t="s">
        <v>201</v>
      </c>
      <c r="C6" s="68" t="s">
        <v>262</v>
      </c>
    </row>
    <row r="7" spans="2:5" x14ac:dyDescent="0.25">
      <c r="C7" t="s">
        <v>263</v>
      </c>
    </row>
    <row r="10" spans="2:5" x14ac:dyDescent="0.25">
      <c r="B10" t="s">
        <v>264</v>
      </c>
      <c r="C10">
        <f>+HT!C32</f>
        <v>12000</v>
      </c>
    </row>
    <row r="12" spans="2:5" x14ac:dyDescent="0.25">
      <c r="B12" t="s">
        <v>265</v>
      </c>
      <c r="C12" s="70">
        <v>41820</v>
      </c>
    </row>
    <row r="13" spans="2:5" x14ac:dyDescent="0.25">
      <c r="B13" t="s">
        <v>266</v>
      </c>
      <c r="C13" s="70">
        <v>41456</v>
      </c>
    </row>
    <row r="14" spans="2:5" x14ac:dyDescent="0.25">
      <c r="B14" t="s">
        <v>156</v>
      </c>
      <c r="C14" s="71">
        <v>0.01</v>
      </c>
      <c r="D14" t="s">
        <v>157</v>
      </c>
      <c r="E14">
        <f>+C14*C10</f>
        <v>120</v>
      </c>
    </row>
    <row r="15" spans="2:5" x14ac:dyDescent="0.25">
      <c r="B15" t="s">
        <v>267</v>
      </c>
      <c r="C15" s="71">
        <v>0.14000000000000001</v>
      </c>
      <c r="D15" t="s">
        <v>268</v>
      </c>
    </row>
    <row r="16" spans="2:5" x14ac:dyDescent="0.25">
      <c r="C16" s="72">
        <f>+(1+C15)^(1/12)-1</f>
        <v>1.0978851950173452E-2</v>
      </c>
      <c r="D16" t="s">
        <v>214</v>
      </c>
    </row>
    <row r="17" spans="2:4" x14ac:dyDescent="0.25">
      <c r="B17" t="s">
        <v>272</v>
      </c>
    </row>
    <row r="18" spans="2:4" x14ac:dyDescent="0.25">
      <c r="C18" s="70">
        <v>41639</v>
      </c>
    </row>
    <row r="19" spans="2:4" x14ac:dyDescent="0.25">
      <c r="C19" s="70"/>
    </row>
    <row r="20" spans="2:4" x14ac:dyDescent="0.25">
      <c r="B20" t="s">
        <v>269</v>
      </c>
      <c r="C20">
        <f>+C10</f>
        <v>12000</v>
      </c>
    </row>
    <row r="21" spans="2:4" x14ac:dyDescent="0.25">
      <c r="B21" t="s">
        <v>270</v>
      </c>
      <c r="C21">
        <f>+E14</f>
        <v>120</v>
      </c>
    </row>
    <row r="22" spans="2:4" x14ac:dyDescent="0.25">
      <c r="C22">
        <f>+C20+C21</f>
        <v>12120</v>
      </c>
    </row>
    <row r="23" spans="2:4" x14ac:dyDescent="0.25">
      <c r="B23" t="s">
        <v>271</v>
      </c>
      <c r="C23" s="66">
        <f>+C12-C18</f>
        <v>181</v>
      </c>
    </row>
    <row r="24" spans="2:4" x14ac:dyDescent="0.25">
      <c r="B24" t="s">
        <v>273</v>
      </c>
      <c r="C24" s="68">
        <f>+C22/(1+C15)^(C23/365)</f>
        <v>11357.534107734526</v>
      </c>
    </row>
    <row r="25" spans="2:4" x14ac:dyDescent="0.25">
      <c r="B25" t="s">
        <v>170</v>
      </c>
      <c r="C25" s="68">
        <f>+C10</f>
        <v>12000</v>
      </c>
    </row>
    <row r="26" spans="2:4" x14ac:dyDescent="0.25">
      <c r="B26" t="s">
        <v>274</v>
      </c>
      <c r="C26" s="74">
        <f>+C24-C25</f>
        <v>-642.46589226547439</v>
      </c>
    </row>
    <row r="29" spans="2:4" x14ac:dyDescent="0.25">
      <c r="B29" s="65" t="s">
        <v>194</v>
      </c>
    </row>
    <row r="31" spans="2:4" x14ac:dyDescent="0.25">
      <c r="B31" t="s">
        <v>235</v>
      </c>
      <c r="C31" s="74">
        <f>-C26</f>
        <v>642.46589226547439</v>
      </c>
    </row>
    <row r="32" spans="2:4" x14ac:dyDescent="0.25">
      <c r="B32" t="s">
        <v>275</v>
      </c>
      <c r="D32" s="74">
        <f>+C31</f>
        <v>642.46589226547439</v>
      </c>
    </row>
    <row r="33" spans="2:6" x14ac:dyDescent="0.25">
      <c r="B33" t="s">
        <v>276</v>
      </c>
    </row>
    <row r="34" spans="2:6" ht="15.75" thickBot="1" x14ac:dyDescent="0.3">
      <c r="C34" s="69">
        <f>SUM(C30:C33)</f>
        <v>642.46589226547439</v>
      </c>
      <c r="D34" s="69">
        <f>SUM(D30:D33)</f>
        <v>642.46589226547439</v>
      </c>
    </row>
    <row r="35" spans="2:6" ht="15.75" thickTop="1" x14ac:dyDescent="0.25"/>
    <row r="39" spans="2:6" x14ac:dyDescent="0.25">
      <c r="C39" t="s">
        <v>278</v>
      </c>
      <c r="D39" t="s">
        <v>270</v>
      </c>
      <c r="E39" t="s">
        <v>283</v>
      </c>
      <c r="F39" t="s">
        <v>284</v>
      </c>
    </row>
    <row r="40" spans="2:6" x14ac:dyDescent="0.25">
      <c r="B40" t="s">
        <v>279</v>
      </c>
      <c r="C40" s="74">
        <f>+C24</f>
        <v>11357.534107734526</v>
      </c>
      <c r="D40" s="68">
        <f>+C40*C16</f>
        <v>124.69268548786269</v>
      </c>
      <c r="F40" s="74">
        <f>+C40+D40+E40</f>
        <v>11482.226793222388</v>
      </c>
    </row>
    <row r="41" spans="2:6" x14ac:dyDescent="0.25">
      <c r="B41" t="s">
        <v>280</v>
      </c>
    </row>
    <row r="42" spans="2:6" x14ac:dyDescent="0.25">
      <c r="B42" t="s">
        <v>281</v>
      </c>
    </row>
    <row r="43" spans="2:6" x14ac:dyDescent="0.25">
      <c r="B43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opLeftCell="A4" zoomScale="130" zoomScaleNormal="130" workbookViewId="0">
      <selection activeCell="C22" sqref="C22"/>
    </sheetView>
  </sheetViews>
  <sheetFormatPr baseColWidth="10" defaultRowHeight="15" x14ac:dyDescent="0.25"/>
  <cols>
    <col min="1" max="1" width="2.28515625" style="68" customWidth="1"/>
    <col min="2" max="16384" width="11.42578125" style="68"/>
  </cols>
  <sheetData>
    <row r="2" spans="2:5" x14ac:dyDescent="0.25">
      <c r="B2" s="67" t="s">
        <v>285</v>
      </c>
    </row>
    <row r="4" spans="2:5" x14ac:dyDescent="0.25">
      <c r="B4" s="68" t="s">
        <v>134</v>
      </c>
      <c r="C4" s="68" t="s">
        <v>146</v>
      </c>
    </row>
    <row r="6" spans="2:5" x14ac:dyDescent="0.25">
      <c r="B6" s="68" t="s">
        <v>286</v>
      </c>
      <c r="C6" s="68" t="s">
        <v>287</v>
      </c>
    </row>
    <row r="8" spans="2:5" x14ac:dyDescent="0.25">
      <c r="B8" s="68" t="s">
        <v>288</v>
      </c>
      <c r="E8" s="68">
        <f>-HT!C33</f>
        <v>3500</v>
      </c>
    </row>
    <row r="10" spans="2:5" x14ac:dyDescent="0.25">
      <c r="B10" s="68" t="s">
        <v>289</v>
      </c>
      <c r="E10" s="68">
        <v>5953</v>
      </c>
    </row>
    <row r="11" spans="2:5" x14ac:dyDescent="0.25">
      <c r="B11" s="68" t="s">
        <v>290</v>
      </c>
      <c r="E11" s="68">
        <f>+E8-E10</f>
        <v>-2453</v>
      </c>
    </row>
    <row r="14" spans="2:5" x14ac:dyDescent="0.25">
      <c r="B14" s="67" t="s">
        <v>194</v>
      </c>
    </row>
    <row r="16" spans="2:5" x14ac:dyDescent="0.25">
      <c r="B16" s="68" t="s">
        <v>235</v>
      </c>
      <c r="E16" s="68">
        <f>-E11</f>
        <v>2453</v>
      </c>
    </row>
    <row r="17" spans="2:6" x14ac:dyDescent="0.25">
      <c r="B17" s="68" t="s">
        <v>291</v>
      </c>
      <c r="F17" s="68">
        <f>+E16</f>
        <v>2453</v>
      </c>
    </row>
    <row r="18" spans="2:6" ht="15.75" thickBot="1" x14ac:dyDescent="0.3">
      <c r="E18" s="69">
        <f>SUM(E16:E17)</f>
        <v>2453</v>
      </c>
      <c r="F18" s="69">
        <f>SUM(F16:F17)</f>
        <v>2453</v>
      </c>
    </row>
    <row r="19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Bce prueba local</vt:lpstr>
      <vt:lpstr>Efectivo</vt:lpstr>
      <vt:lpstr>CDT</vt:lpstr>
      <vt:lpstr>Fondo</vt:lpstr>
      <vt:lpstr>CXC Clientes</vt:lpstr>
      <vt:lpstr>Anticipos</vt:lpstr>
      <vt:lpstr>Reclamac</vt:lpstr>
      <vt:lpstr>Ptos a 3erso</vt:lpstr>
      <vt:lpstr>Provisión CXC</vt:lpstr>
      <vt:lpstr>MP</vt:lpstr>
      <vt:lpstr>PP</vt:lpstr>
      <vt:lpstr>PT</vt:lpstr>
      <vt:lpstr>Mcias</vt:lpstr>
      <vt:lpstr>Rptos</vt:lpstr>
      <vt:lpstr>Inmuebles</vt:lpstr>
      <vt:lpstr>Maquin</vt:lpstr>
      <vt:lpstr>Otrosactivos</vt:lpstr>
      <vt:lpstr>IP</vt:lpstr>
      <vt:lpstr>Arren</vt:lpstr>
      <vt:lpstr>OF</vt:lpstr>
      <vt:lpstr>Tax  Diferido</vt:lpstr>
      <vt:lpstr>HT</vt:lpstr>
      <vt:lpstr>Hoja12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</dc:creator>
  <cp:lastModifiedBy>Carlos Arturo Bernal Chaparro</cp:lastModifiedBy>
  <dcterms:created xsi:type="dcterms:W3CDTF">2013-05-14T00:46:46Z</dcterms:created>
  <dcterms:modified xsi:type="dcterms:W3CDTF">2013-07-24T15:13:08Z</dcterms:modified>
</cp:coreProperties>
</file>