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8. Agosto/"/>
    </mc:Choice>
  </mc:AlternateContent>
  <xr:revisionPtr revIDLastSave="21" documentId="14_{3C60A7A4-4415-4B71-8EB5-AC83B4C4B376}" xr6:coauthVersionLast="47" xr6:coauthVersionMax="47" xr10:uidLastSave="{3BA7D692-2BA5-4190-836D-529001A1EBFD}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3" l="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G3" i="10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D20" i="2"/>
  <c r="B20" i="2"/>
  <c r="C7" i="2"/>
  <c r="H47" i="32"/>
  <c r="G45" i="32"/>
  <c r="H53" i="32"/>
  <c r="C10" i="2"/>
  <c r="B16" i="2"/>
  <c r="C20" i="2"/>
  <c r="D7" i="2"/>
  <c r="G53" i="32"/>
  <c r="G52" i="32"/>
  <c r="G50" i="32"/>
  <c r="H49" i="32"/>
  <c r="H52" i="32"/>
  <c r="G47" i="32"/>
  <c r="H42" i="32"/>
  <c r="D16" i="2"/>
  <c r="B19" i="2"/>
  <c r="D18" i="2"/>
  <c r="C16" i="2"/>
  <c r="G42" i="32"/>
  <c r="D17" i="2"/>
  <c r="H48" i="32"/>
  <c r="B9" i="2"/>
  <c r="B17" i="2"/>
  <c r="C19" i="2"/>
  <c r="D9" i="2"/>
  <c r="B10" i="2"/>
  <c r="C9" i="2"/>
  <c r="G44" i="32"/>
  <c r="B18" i="2"/>
  <c r="H51" i="32"/>
  <c r="C17" i="2"/>
  <c r="G49" i="32"/>
  <c r="H50" i="32"/>
  <c r="G51" i="32"/>
  <c r="H44" i="32"/>
  <c r="G46" i="32"/>
  <c r="C18" i="2"/>
  <c r="G43" i="32"/>
  <c r="D19" i="2"/>
  <c r="B7" i="2"/>
  <c r="H45" i="32"/>
  <c r="D10" i="2"/>
  <c r="G48" i="32"/>
  <c r="H43" i="32"/>
  <c r="H46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3" i="32" l="1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<sst xmlns="http://schemas.openxmlformats.org/spreadsheetml/2006/main" count="2303" uniqueCount="205">
  <si>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</si>
  <si>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</si>
  <si>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</si>
  <si>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</si>
  <si>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</si>
  <si>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</si>
  <si>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</si>
  <si>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</si>
  <si>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</si>
  <si>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</si>
  <si>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</si>
  <si>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</si>
  <si>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</si>
  <si>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</si>
  <si>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</si>
  <si>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</si>
  <si>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</si>
  <si>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</si>
  <si>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</si>
  <si>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</si>
  <si>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</si>
  <si>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</si>
  <si>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</si>
  <si>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</si>
  <si>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</si>
  <si>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</si>
  <si>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</si>
  <si>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</si>
  <si>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</si>
  <si>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</si>
  <si>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</si>
  <si>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</si>
  <si>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</si>
  <si>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</si>
  <si>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</si>
  <si>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</si>
  <si>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</si>
  <si>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</si>
  <si>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</si>
  <si>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</si>
  <si>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</si>
  <si>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</si>
  <si>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</si>
  <si>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</si>
  <si>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</si>
  <si>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</si>
  <si>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</si>
  <si>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</si>
  <si>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</si>
  <si>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</si>
  <si>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</si>
  <si>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</si>
  <si>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</si>
  <si>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</si>
  <si>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</si>
  <si>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</si>
  <si>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</si>
  <si>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</si>
  <si>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</si>
  <si>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</si>
  <si>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</si>
  <si>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</si>
  <si>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</si>
  <si>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</si>
  <si>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</si>
  <si>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</si>
  <si>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</si>
  <si>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</si>
  <si>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</si>
  <si>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</si>
  <si>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</si>
  <si>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</si>
  <si>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</si>
  <si>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</si>
  <si>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</si>
  <si>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</si>
  <si>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</si>
  <si>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</si>
  <si>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</si>
  <si>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</si>
  <si>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</si>
  <si>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</si>
  <si>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</si>
  <si>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</si>
  <si>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</si>
  <si>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</si>
  <si>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</si>
  <si>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</si>
  <si>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</si>
  <si>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</si>
  <si>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</si>
  <si>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</si>
  <si>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</si>
  <si>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</si>
  <si>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</si>
  <si>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</si>
  <si>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</si>
  <si>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</si>
  <si>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</si>
  <si>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</si>
  <si>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</si>
  <si>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</si>
  <si>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</si>
  <si>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</si>
  <si>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</si>
  <si>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</si>
  <si>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</si>
  <si>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</si>
  <si>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</si>
  <si>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</si>
  <si>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</si>
  <si>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</si>
  <si>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</si>
  <si>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</si>
  <si>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</si>
  <si>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</si>
  <si>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</si>
  <si>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</si>
  <si>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</si>
  <si>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</si>
  <si>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</si>
  <si>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</si>
  <si>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</si>
  <si>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</si>
  <si>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</si>
  <si>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</si>
  <si>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</si>
  <si>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</si>
  <si>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</si>
  <si>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</si>
  <si>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</si>
  <si>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</si>
  <si>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</si>
  <si>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</si>
  <si>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</si>
  <si>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</si>
  <si>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</si>
  <si>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</si>
  <si>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</si>
  <si>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</si>
  <si>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</si>
  <si>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</si>
  <si>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</si>
  <si>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</si>
  <si>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</si>
  <si>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</si>
  <si>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</si>
  <si>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</si>
  <si>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</si>
  <si>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</si>
  <si>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</si>
  <si>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</si>
  <si>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</si>
  <si>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</si>
  <si>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</si>
  <si>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</si>
  <si>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</si>
  <si>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</si>
  <si>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</si>
  <si>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</si>
  <si>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</si>
  <si>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</si>
  <si>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</si>
  <si>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</si>
  <si>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</si>
  <si>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</si>
  <si>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</si>
  <si>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</si>
  <si>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</si>
  <si>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</si>
  <si>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</si>
  <si>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</si>
  <si>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</si>
  <si>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</si>
  <si>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</si>
  <si>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</si>
  <si>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</si>
  <si>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</si>
  <si>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</si>
  <si>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</si>
  <si>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</si>
  <si>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</si>
  <si>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</si>
  <si>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</si>
  <si>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</si>
  <si>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</si>
  <si>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</si>
  <si>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</si>
  <si>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</si>
  <si>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</si>
  <si>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</si>
  <si>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</si>
  <si>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</si>
  <si>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</si>
  <si>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</si>
  <si>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</si>
  <si>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</si>
  <si>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</si>
  <si>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</si>
  <si>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</si>
  <si>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</si>
  <si>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</si>
  <si>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</si>
  <si>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</si>
  <si>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Agosto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</si>
</sst>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  <font>
      <sz val="8"/>
      <name val="Franklin Gothic Book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30532523151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5734193505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0" maxValue="78166550211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8166550211"/>
    </cacheField>
    <cacheField name="APR. DISPONIBLE" numFmtId="0">
      <sharedItems containsString="0" containsBlank="1" containsNumber="1" minValue="0" maxValue="7440334851.04"/>
    </cacheField>
    <cacheField name="COMPROMISO" numFmtId="0">
      <sharedItems containsString="0" containsBlank="1" containsNumber="1" minValue="0" maxValue="45753620345"/>
    </cacheField>
    <cacheField name="OBLIGACION" numFmtId="0">
      <sharedItems containsString="0" containsBlank="1" containsNumber="1" minValue="0" maxValue="45727805708.18"/>
    </cacheField>
    <cacheField name="ORDEN PAGO" numFmtId="0">
      <sharedItems containsString="0" containsBlank="1" containsNumber="1" minValue="0" maxValue="45714733567.18"/>
    </cacheField>
    <cacheField name="PAGOS" numFmtId="0">
      <sharedItems containsString="0" containsBlank="1" containsNumber="1" minValue="0" maxValue="45714733567.18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30533101852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57401572538225887" maxValue="0.57401572538225887"/>
    </cacheField>
    <cacheField name="ACTUAL-OBLIGADO" numFmtId="168">
      <sharedItems containsMixedTypes="1" containsNumber="1" minValue="0.51875164045156508" maxValue="0.518751640451565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5392560211"/>
    <n v="0"/>
    <n v="78166550211"/>
    <n v="0"/>
    <n v="78166550211"/>
    <n v="0"/>
    <n v="45753620345"/>
    <n v="45727805708.18"/>
    <n v="45714733567.18"/>
    <n v="45714733567.18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16572346419"/>
    <n v="16572346419"/>
    <n v="16008951310"/>
    <n v="16008951310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11931150115"/>
    <n v="11931150115"/>
    <n v="11919307200"/>
    <n v="11919307200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61704336"/>
    <n v="61704336"/>
    <n v="61704336"/>
    <n v="6170433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18370553"/>
    <n v="18370553"/>
    <n v="17566500"/>
    <n v="17566500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9348866"/>
    <n v="9348866"/>
    <n v="9348866"/>
    <n v="934886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1569877684"/>
    <n v="0"/>
    <n v="19502044684"/>
    <n v="0"/>
    <n v="19429266386.110001"/>
    <n v="72778297.890000001"/>
    <n v="17921485112.52"/>
    <n v="10122021332.690001"/>
    <n v="10057878005.33"/>
    <n v="10057878005.33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24409082.75"/>
    <n v="424090917.25"/>
    <n v="24409082.739999998"/>
    <n v="24409082.739999998"/>
    <n v="24409082.739999998"/>
    <n v="24409082.739999998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487405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333081542"/>
    <n v="333081542"/>
    <n v="333081542"/>
    <n v="333081542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013527670"/>
    <n v="1030472330"/>
    <n v="2013527670"/>
    <n v="1764899955"/>
    <n v="1764899955"/>
    <n v="1764899955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150000000"/>
    <n v="14279600000"/>
    <n v="0"/>
    <n v="8560217088.1400003"/>
    <n v="5719382911.8599997"/>
    <n v="8560217088.1400003"/>
    <n v="8560217088.1400003"/>
    <n v="8560217088.1400003"/>
    <n v="8560217088.1400003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016749204"/>
    <n v="1983250796"/>
    <n v="765876780"/>
    <n v="765876780"/>
    <n v="765876780"/>
    <n v="765876780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3991776078.1199999"/>
    <n v="3991776078.1199999"/>
    <n v="3990779782.1199999"/>
    <n v="3990779782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195937871.1399999"/>
    <n v="538667669.08000004"/>
    <n v="538667669.08000004"/>
    <n v="538667669.08000004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12318907"/>
    <n v="2412093"/>
    <n v="311818907"/>
    <n v="311594062"/>
    <n v="311594062"/>
    <n v="31159406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4776588.3299999"/>
    <n v="699.67"/>
    <n v="4700273583.8299999"/>
    <n v="2675825868.0700002"/>
    <n v="2666141868.0700002"/>
    <n v="2666141868.0700002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5819483733.959999"/>
    <n v="7440334851.04"/>
    <n v="12297583883.889999"/>
    <n v="5805835334.8500004"/>
    <n v="5760289174.8500004"/>
    <n v="5760289174.8500004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2506504127.1599998"/>
    <n v="215099999.84"/>
    <n v="139637949.16"/>
    <n v="70609971.420000002"/>
    <n v="70609971.420000002"/>
    <n v="7060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57401572538225887"/>
    <n v="0.51875164045156508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84" zoomScaleNormal="98" zoomScaleSheetLayoutView="84" workbookViewId="0">
      <selection activeCell="B9" sqref="B9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1">
        <f t="shared" ref="B6:G6" si="0">+B7</f>
        <v>4714777288</v>
      </c>
      <c r="C6" s="101">
        <f t="shared" si="0"/>
        <v>4700273583.8299999</v>
      </c>
      <c r="D6" s="101">
        <f t="shared" si="0"/>
        <v>2675825868.0700002</v>
      </c>
      <c r="E6" s="101">
        <f t="shared" si="0"/>
        <v>14503704.170000076</v>
      </c>
      <c r="F6" s="102">
        <f t="shared" si="0"/>
        <v>0.99692377745881766</v>
      </c>
      <c r="G6" s="102">
        <f t="shared" si="0"/>
        <v>0.5675402473157074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4700273583.8299999</v>
      </c>
      <c r="D7" s="103">
        <f>GETPIVOTDATA("Suma de OBLIGACION",CRIS!$A$3,"CM - A","C3")</f>
        <v>2675825868.0700002</v>
      </c>
      <c r="E7" s="104">
        <f>+B7-C7</f>
        <v>14503704.170000076</v>
      </c>
      <c r="F7" s="105">
        <f>+C7/B7</f>
        <v>0.99692377745881766</v>
      </c>
      <c r="G7" s="106">
        <f>+D7/B7</f>
        <v>0.5675402473157074</v>
      </c>
    </row>
    <row r="8" spans="1:12" ht="36">
      <c r="A8" s="90" t="s">
        <v>119</v>
      </c>
      <c r="B8" s="101">
        <f>SUM(B9:B10)</f>
        <v>25981422712</v>
      </c>
      <c r="C8" s="101">
        <f>SUM(C9:C10)</f>
        <v>12437221833.049999</v>
      </c>
      <c r="D8" s="101">
        <f>SUM(D9:D10)</f>
        <v>5876445306.2700005</v>
      </c>
      <c r="E8" s="101">
        <f>SUM(E9:E10)</f>
        <v>13544200878.950001</v>
      </c>
      <c r="F8" s="107">
        <f>+C8/B8</f>
        <v>0.47869671999546193</v>
      </c>
      <c r="G8" s="108">
        <f>+D8/B8</f>
        <v>0.22617873437530639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12297583883.889999</v>
      </c>
      <c r="D9" s="103">
        <f>GETPIVOTDATA("Suma de OBLIGACION",CRIS!$A$3,"CM - A","C11")</f>
        <v>5805835334.8500004</v>
      </c>
      <c r="E9" s="103">
        <f>+B9-C9</f>
        <v>10962234701.110001</v>
      </c>
      <c r="F9" s="105">
        <f>+C9/B9</f>
        <v>0.52870506444192888</v>
      </c>
      <c r="G9" s="109">
        <f>+D9/B9</f>
        <v>0.24960793712269619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139637949.16</v>
      </c>
      <c r="D10" s="103">
        <f>GETPIVOTDATA("Suma de OBLIGACION",CRIS!$A$3,"CM - A","C12")</f>
        <v>70609971.420000002</v>
      </c>
      <c r="E10" s="103">
        <f>+B10-C10</f>
        <v>2581966177.8400002</v>
      </c>
      <c r="F10" s="105">
        <f>+C10/B10</f>
        <v>5.1307222742170686E-2</v>
      </c>
      <c r="G10" s="109">
        <f>+D10/B10</f>
        <v>2.5944247629368766E-2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17137495416.879999</v>
      </c>
      <c r="D11" s="101">
        <f>+D6+D8</f>
        <v>8552271174.3400002</v>
      </c>
      <c r="E11" s="101">
        <f>+E6+E8</f>
        <v>13558704583.120001</v>
      </c>
      <c r="F11" s="107">
        <f>+C11/B11</f>
        <v>0.55829371117206683</v>
      </c>
      <c r="G11" s="108">
        <f>+D11/B11</f>
        <v>0.2786100942246923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111464670765.66</v>
      </c>
      <c r="D15" s="110">
        <f>SUM(D16:D20)</f>
        <v>100733269586.95</v>
      </c>
      <c r="E15" s="110">
        <f>SUM(E16:E20)</f>
        <v>82719331234.339996</v>
      </c>
      <c r="F15" s="111">
        <f t="shared" ref="F15:F21" si="1">+C15/B15</f>
        <v>0.57401572538225887</v>
      </c>
      <c r="G15" s="112">
        <f t="shared" ref="G15:G21" si="2">+D15/B15</f>
        <v>0.51875164045156508</v>
      </c>
    </row>
    <row r="16" spans="1:12" ht="23.25">
      <c r="A16" s="95" t="s">
        <v>124</v>
      </c>
      <c r="B16" s="113">
        <f>GETPIVOTDATA("Suma de APR. VIGENTE",CRIS!$A$3,"CM - A","A01")</f>
        <v>138823452716</v>
      </c>
      <c r="C16" s="113">
        <f>GETPIVOTDATA("Suma de COMPROMISO",CRIS!$A$3,"CM - A","A01")</f>
        <v>74346540634</v>
      </c>
      <c r="D16" s="113">
        <f>GETPIVOTDATA("Suma de OBLIGACION",CRIS!$A$3,"CM - A","A01")</f>
        <v>74320725997.179993</v>
      </c>
      <c r="E16" s="103">
        <f>+B16-C16</f>
        <v>64476912082</v>
      </c>
      <c r="F16" s="105">
        <f t="shared" si="1"/>
        <v>0.53554741061004629</v>
      </c>
      <c r="G16" s="109">
        <f t="shared" si="2"/>
        <v>0.53536145761496545</v>
      </c>
    </row>
    <row r="17" spans="1:7" ht="23.25">
      <c r="A17" s="95" t="s">
        <v>125</v>
      </c>
      <c r="B17" s="113">
        <f>GETPIVOTDATA("Suma de APR. VIGENTE",CRIS!$A$3,"CM - A","A02")</f>
        <v>19502044684</v>
      </c>
      <c r="C17" s="113">
        <f>GETPIVOTDATA("Suma de COMPROMISO",CRIS!$A$3,"CM - A","A02")</f>
        <v>17921485112.52</v>
      </c>
      <c r="D17" s="113">
        <f>GETPIVOTDATA("Suma de OBLIGACION",CRIS!$A$3,"CM - A","A02")</f>
        <v>10122021332.690001</v>
      </c>
      <c r="E17" s="103">
        <f>+B17-C17</f>
        <v>1580559571.4799995</v>
      </c>
      <c r="F17" s="105">
        <f t="shared" si="1"/>
        <v>0.91895416111025874</v>
      </c>
      <c r="G17" s="109">
        <f t="shared" si="2"/>
        <v>0.51902359453592972</v>
      </c>
    </row>
    <row r="18" spans="1:7" ht="23.25">
      <c r="A18" s="95" t="s">
        <v>126</v>
      </c>
      <c r="B18" s="113">
        <f>GETPIVOTDATA("Suma de APR. VIGENTE",CRIS!$A$3,"CM - A","A03")</f>
        <v>31592873600</v>
      </c>
      <c r="C18" s="113">
        <f>GETPIVOTDATA("Suma de COMPROMISO",CRIS!$A$3,"CM - A","A03")</f>
        <v>15688888241</v>
      </c>
      <c r="D18" s="113">
        <f>GETPIVOTDATA("Suma de OBLIGACION",CRIS!$A$3,"CM - A","A03")</f>
        <v>15440260526</v>
      </c>
      <c r="E18" s="103">
        <f>+B18-C18</f>
        <v>15903985359</v>
      </c>
      <c r="F18" s="105">
        <f t="shared" si="1"/>
        <v>0.4965957968761664</v>
      </c>
      <c r="G18" s="109">
        <f t="shared" si="2"/>
        <v>0.48872605643571465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3195937871.1399999</v>
      </c>
      <c r="D19" s="113">
        <f>GETPIVOTDATA("Suma de OBLIGACION",CRIS!$A$3,"CM - A","A06")</f>
        <v>538667669.08000004</v>
      </c>
      <c r="E19" s="103">
        <f>+B19-C19</f>
        <v>301062128.86000013</v>
      </c>
      <c r="F19" s="105">
        <f t="shared" si="1"/>
        <v>0.91390845614526728</v>
      </c>
      <c r="G19" s="109">
        <f t="shared" si="2"/>
        <v>0.15403708009150702</v>
      </c>
    </row>
    <row r="20" spans="1:7" ht="24" thickBot="1">
      <c r="A20" s="95" t="s">
        <v>128</v>
      </c>
      <c r="B20" s="113">
        <f>GETPIVOTDATA("Suma de APR. VIGENTE",CRIS!$A$3,"CM - A","A08")</f>
        <v>768631000</v>
      </c>
      <c r="C20" s="113">
        <f>GETPIVOTDATA("Suma de COMPROMISO",CRIS!$A$3,"CM - A","A08")</f>
        <v>311818907</v>
      </c>
      <c r="D20" s="113">
        <f>GETPIVOTDATA("Suma de OBLIGACION",CRIS!$A$3,"CM - A","A08")</f>
        <v>311594062</v>
      </c>
      <c r="E20" s="103">
        <f>+B20-C20</f>
        <v>456812093</v>
      </c>
      <c r="F20" s="105">
        <f t="shared" si="1"/>
        <v>0.40568088848875467</v>
      </c>
      <c r="G20" s="109">
        <f t="shared" si="2"/>
        <v>0.40538836190577793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111464670765.66</v>
      </c>
      <c r="D21" s="114">
        <f>SUM(D16:D20)</f>
        <v>100733269586.95</v>
      </c>
      <c r="E21" s="114">
        <f>SUM(E16:E20)</f>
        <v>82719331234.339996</v>
      </c>
      <c r="F21" s="115">
        <f t="shared" si="1"/>
        <v>0.57401572538225887</v>
      </c>
      <c r="G21" s="115">
        <f t="shared" si="2"/>
        <v>0.51875164045156508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128602166182.54001</v>
      </c>
      <c r="D23" s="114">
        <f>+D21+D11</f>
        <v>109285540761.28999</v>
      </c>
      <c r="E23" s="114">
        <f>+E21+E11</f>
        <v>96278035817.459991</v>
      </c>
      <c r="F23" s="115">
        <f>+C23/B23</f>
        <v>0.57186966677724704</v>
      </c>
      <c r="G23" s="115">
        <f>+D23/B23</f>
        <v>0.48597226340667371</v>
      </c>
    </row>
    <row r="30" spans="1:7">
      <c r="F30" s="99"/>
    </row>
    <row r="31" spans="1:7">
      <c r="F31" s="10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5546875" bestFit="1" customWidth="1"/>
    <col min="2" max="2" width="16.88671875" bestFit="1" customWidth="1"/>
    <col min="3" max="3" width="17.44140625" bestFit="1" customWidth="1"/>
    <col min="4" max="4" width="16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45908</v>
      </c>
      <c r="H3" t="str">
        <f ca="1">TEXT(G3,"MMMM")</f>
        <v>septiembre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138823452716</v>
      </c>
      <c r="C5" s="83">
        <v>74346540634</v>
      </c>
      <c r="D5" s="83">
        <v>74320725997.179993</v>
      </c>
      <c r="G5" t="s">
        <v>203</v>
      </c>
    </row>
    <row r="6" spans="1:9">
      <c r="A6" s="82" t="s">
        <v>138</v>
      </c>
      <c r="B6" s="83">
        <v>19502044684</v>
      </c>
      <c r="C6" s="83">
        <v>17921485112.52</v>
      </c>
      <c r="D6" s="83">
        <v>10122021332.690001</v>
      </c>
      <c r="G6" t="str">
        <f ca="1">CONCATENATE(G4," ",H3," ",G5)</f>
        <v xml:space="preserve">EJECUCIÓN PRESUPUESTAL  septiembre 2024 ( Millones) </v>
      </c>
    </row>
    <row r="7" spans="1:9">
      <c r="A7" s="82" t="s">
        <v>139</v>
      </c>
      <c r="B7" s="83">
        <v>31592873600</v>
      </c>
      <c r="C7" s="83">
        <v>15688888241</v>
      </c>
      <c r="D7" s="83">
        <v>15440260526</v>
      </c>
    </row>
    <row r="8" spans="1:9">
      <c r="A8" s="82" t="s">
        <v>140</v>
      </c>
      <c r="B8" s="83">
        <v>3497000000</v>
      </c>
      <c r="C8" s="83">
        <v>3195937871.1399999</v>
      </c>
      <c r="D8" s="83">
        <v>538667669.08000004</v>
      </c>
    </row>
    <row r="9" spans="1:9">
      <c r="A9" s="82" t="s">
        <v>143</v>
      </c>
      <c r="B9" s="83">
        <v>768631000</v>
      </c>
      <c r="C9" s="83">
        <v>311818907</v>
      </c>
      <c r="D9" s="83">
        <v>311594062</v>
      </c>
    </row>
    <row r="10" spans="1:9" ht="15.75">
      <c r="A10" s="82" t="s">
        <v>155</v>
      </c>
      <c r="B10" s="83">
        <v>23259818585</v>
      </c>
      <c r="C10" s="83">
        <v>12297583883.889999</v>
      </c>
      <c r="D10" s="83">
        <v>5805835334.8500004</v>
      </c>
      <c r="G10" s="14"/>
    </row>
    <row r="11" spans="1:9">
      <c r="A11" s="82" t="s">
        <v>156</v>
      </c>
      <c r="B11" s="83">
        <v>2721604127</v>
      </c>
      <c r="C11" s="83">
        <v>139637949.16</v>
      </c>
      <c r="D11" s="83">
        <v>70609971.420000002</v>
      </c>
    </row>
    <row r="12" spans="1:9">
      <c r="A12" s="82" t="s">
        <v>154</v>
      </c>
      <c r="B12" s="83">
        <v>4714777288</v>
      </c>
      <c r="C12" s="83">
        <v>4700273583.8299999</v>
      </c>
      <c r="D12" s="83">
        <v>2675825868.0700002</v>
      </c>
    </row>
    <row r="13" spans="1:9">
      <c r="A13" s="82" t="s">
        <v>148</v>
      </c>
      <c r="B13" s="83">
        <v>224880202000</v>
      </c>
      <c r="C13" s="83">
        <v>128602166182.54001</v>
      </c>
      <c r="D13" s="83">
        <v>109285540761.29001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J1" zoomScale="80" zoomScaleNormal="80" workbookViewId="0">
      <pane ySplit="1" topLeftCell="A2" activePane="bottomLeft" state="frozen"/>
      <selection activeCell="B1" sqref="B1"/>
      <selection pane="bottomLeft" activeCell="X9" sqref="X9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5392560211</v>
      </c>
      <c r="T2" s="18">
        <v>0</v>
      </c>
      <c r="U2" s="19">
        <v>78166550211</v>
      </c>
      <c r="V2" s="18">
        <v>0</v>
      </c>
      <c r="W2" s="18">
        <v>78166550211</v>
      </c>
      <c r="X2" s="18">
        <v>0</v>
      </c>
      <c r="Y2" s="18">
        <v>45753620345</v>
      </c>
      <c r="Z2" s="18">
        <v>45727805708.18</v>
      </c>
      <c r="AA2" s="18">
        <v>45714733567.18</v>
      </c>
      <c r="AB2" s="18">
        <v>45714733567.18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16572346419</v>
      </c>
      <c r="Z3" s="18">
        <v>16572346419</v>
      </c>
      <c r="AA3" s="18">
        <v>16008951310</v>
      </c>
      <c r="AB3" s="18">
        <v>16008951310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11931150115</v>
      </c>
      <c r="Z4" s="18">
        <v>11931150115</v>
      </c>
      <c r="AA4" s="18">
        <v>11919307200</v>
      </c>
      <c r="AB4" s="18">
        <v>11919307200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61704336</v>
      </c>
      <c r="Z6" s="18">
        <v>61704336</v>
      </c>
      <c r="AA6" s="18">
        <v>61704336</v>
      </c>
      <c r="AB6" s="18">
        <v>61704336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18370553</v>
      </c>
      <c r="Z7" s="18">
        <v>18370553</v>
      </c>
      <c r="AA7" s="18">
        <v>17566500</v>
      </c>
      <c r="AB7" s="18">
        <v>17566500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9348866</v>
      </c>
      <c r="Z8" s="18">
        <v>9348866</v>
      </c>
      <c r="AA8" s="18">
        <v>9348866</v>
      </c>
      <c r="AB8" s="18">
        <v>9348866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1569877684</v>
      </c>
      <c r="T9" s="18">
        <v>0</v>
      </c>
      <c r="U9" s="18">
        <v>19502044684</v>
      </c>
      <c r="V9" s="18">
        <v>0</v>
      </c>
      <c r="W9" s="18">
        <v>19429266386.110001</v>
      </c>
      <c r="X9" s="18">
        <v>72778297.890000001</v>
      </c>
      <c r="Y9" s="18">
        <v>17921485112.52</v>
      </c>
      <c r="Z9" s="18">
        <v>10122021332.690001</v>
      </c>
      <c r="AA9" s="18">
        <v>10057878005.33</v>
      </c>
      <c r="AB9" s="18">
        <v>10057878005.33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24409082.75</v>
      </c>
      <c r="X11" s="18">
        <v>424090917.25</v>
      </c>
      <c r="Y11" s="18">
        <v>24409082.739999998</v>
      </c>
      <c r="Z11" s="18">
        <v>24409082.739999998</v>
      </c>
      <c r="AA11" s="18">
        <v>24409082.739999998</v>
      </c>
      <c r="AB11" s="18">
        <v>24409082.739999998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487405000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333081542</v>
      </c>
      <c r="Z13" s="18">
        <v>333081542</v>
      </c>
      <c r="AA13" s="18">
        <v>333081542</v>
      </c>
      <c r="AB13" s="18">
        <v>333081542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2013527670</v>
      </c>
      <c r="X15" s="18">
        <v>1030472330</v>
      </c>
      <c r="Y15" s="18">
        <v>2013527670</v>
      </c>
      <c r="Z15" s="18">
        <v>1764899955</v>
      </c>
      <c r="AA15" s="18">
        <v>1764899955</v>
      </c>
      <c r="AB15" s="18">
        <v>1764899955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150000000</v>
      </c>
      <c r="U16" s="18">
        <v>14279600000</v>
      </c>
      <c r="V16" s="18">
        <v>0</v>
      </c>
      <c r="W16" s="18">
        <v>8560217088.1400003</v>
      </c>
      <c r="X16" s="18">
        <v>5719382911.8599997</v>
      </c>
      <c r="Y16" s="18">
        <v>8560217088.1400003</v>
      </c>
      <c r="Z16" s="18">
        <v>8560217088.1400003</v>
      </c>
      <c r="AA16" s="18">
        <v>8560217088.1400003</v>
      </c>
      <c r="AB16" s="18">
        <v>8560217088.1400003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1016749204</v>
      </c>
      <c r="X17" s="18">
        <v>1983250796</v>
      </c>
      <c r="Y17" s="18">
        <v>765876780</v>
      </c>
      <c r="Z17" s="18">
        <v>765876780</v>
      </c>
      <c r="AA17" s="18">
        <v>765876780</v>
      </c>
      <c r="AB17" s="18">
        <v>765876780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3991776078.1199999</v>
      </c>
      <c r="Z18" s="18">
        <v>3991776078.1199999</v>
      </c>
      <c r="AA18" s="18">
        <v>3990779782.1199999</v>
      </c>
      <c r="AB18" s="18">
        <v>3990779782.1199999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3195937871.1399999</v>
      </c>
      <c r="Z19" s="18">
        <v>538667669.08000004</v>
      </c>
      <c r="AA19" s="18">
        <v>538667669.08000004</v>
      </c>
      <c r="AB19" s="18">
        <v>538667669.08000004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312318907</v>
      </c>
      <c r="X20" s="18">
        <v>2412093</v>
      </c>
      <c r="Y20" s="18">
        <v>311818907</v>
      </c>
      <c r="Z20" s="18">
        <v>311594062</v>
      </c>
      <c r="AA20" s="18">
        <v>311594062</v>
      </c>
      <c r="AB20" s="18">
        <v>311594062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4714776588.3299999</v>
      </c>
      <c r="X22" s="18">
        <v>699.67</v>
      </c>
      <c r="Y22" s="18">
        <v>4700273583.8299999</v>
      </c>
      <c r="Z22" s="18">
        <v>2675825868.0700002</v>
      </c>
      <c r="AA22" s="18">
        <v>2666141868.0700002</v>
      </c>
      <c r="AB22" s="18">
        <v>2666141868.0700002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15819483733.959999</v>
      </c>
      <c r="X23" s="18">
        <v>7440334851.04</v>
      </c>
      <c r="Y23" s="18">
        <v>12297583883.889999</v>
      </c>
      <c r="Z23" s="18">
        <v>5805835334.8500004</v>
      </c>
      <c r="AA23" s="18">
        <v>5760289174.8500004</v>
      </c>
      <c r="AB23" s="18">
        <v>5760289174.8500004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2506504127.1599998</v>
      </c>
      <c r="X24" s="18">
        <v>215099999.84</v>
      </c>
      <c r="Y24" s="18">
        <v>139637949.16</v>
      </c>
      <c r="Z24" s="18">
        <v>70609971.420000002</v>
      </c>
      <c r="AA24" s="18">
        <v>70609971.420000002</v>
      </c>
      <c r="AB24" s="18">
        <v>70609971.420000002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37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5546875" bestFit="1" customWidth="1"/>
    <col min="2" max="2" width="17.44140625" bestFit="1" customWidth="1"/>
    <col min="3" max="3" width="10.77734375" bestFit="1" customWidth="1"/>
    <col min="4" max="4" width="11.77734375" bestFit="1" customWidth="1"/>
    <col min="5" max="5" width="10.33203125" customWidth="1"/>
    <col min="6" max="6" width="13.5546875" bestFit="1" customWidth="1"/>
    <col min="7" max="7" width="16" bestFit="1" customWidth="1"/>
    <col min="8" max="10" width="11.5546875" customWidth="1"/>
    <col min="11" max="11" width="13.5546875" bestFit="1" customWidth="1"/>
    <col min="12" max="12" width="16.8867187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111464670765.66</v>
      </c>
      <c r="C4" t="s">
        <v>145</v>
      </c>
      <c r="D4" s="13">
        <f t="shared" ref="D4:D15" si="0">B4</f>
        <v>111464670765.66</v>
      </c>
      <c r="F4" s="78" t="s">
        <v>145</v>
      </c>
      <c r="G4" s="13">
        <v>100733269586.95</v>
      </c>
      <c r="H4" t="s">
        <v>145</v>
      </c>
      <c r="I4" s="13">
        <f t="shared" ref="I4:I15" si="1">G4</f>
        <v>100733269586.95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0.57401572538225887</v>
      </c>
      <c r="Q4" s="72">
        <f t="shared" ref="Q4:Q15" si="5">+I4/N4</f>
        <v>0.51875164045156508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111464670765.66</v>
      </c>
      <c r="F17" s="78" t="s">
        <v>148</v>
      </c>
      <c r="G17">
        <v>100733269586.95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17137495416.879999</v>
      </c>
      <c r="C23" t="str">
        <f t="shared" ref="C23:C34" si="6">A23</f>
        <v>Enero</v>
      </c>
      <c r="D23" s="13">
        <f t="shared" ref="D23:D34" si="7">B23</f>
        <v>17137495416.879999</v>
      </c>
      <c r="F23" s="78" t="s">
        <v>145</v>
      </c>
      <c r="G23" s="13">
        <v>8552271174.3400002</v>
      </c>
      <c r="H23" t="str">
        <f t="shared" ref="H23:H34" si="8">F23</f>
        <v>Enero</v>
      </c>
      <c r="I23" s="13">
        <f t="shared" ref="I23:I34" si="9">G23</f>
        <v>8552271174.3400002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0.55829371117206683</v>
      </c>
      <c r="Q23" s="72">
        <f t="shared" ref="Q23:Q34" si="13">+I23/N23</f>
        <v>0.2786100942246923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17137495416.879999</v>
      </c>
      <c r="F36" s="78" t="s">
        <v>148</v>
      </c>
      <c r="G36">
        <v>8552271174.3400002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128602166182.54001</v>
      </c>
      <c r="E42" s="13">
        <v>109285540761.29001</v>
      </c>
      <c r="F42" t="str">
        <f t="shared" ref="F42:F53" si="14">B42</f>
        <v>Enero</v>
      </c>
      <c r="G42" s="72">
        <f>+GETPIVOTDATA("SCOMPROMISO",$B$41,"Mes","Enero")/GETPIVOTDATA(" APR. VIGENTE",$B$41,"Mes","Enero")</f>
        <v>0.57186966677724704</v>
      </c>
      <c r="H42" s="72">
        <f>+GETPIVOTDATA("SOBLIGACION",$B$41,"Mes","Enero")/GETPIVOTDATA(" APR. VIGENTE",$B$41,"Mes","Enero")</f>
        <v>0.48597226340667377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128602166182.54001</v>
      </c>
      <c r="E55">
        <v>109285540761.29001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4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0.57401572538225887</v>
      </c>
      <c r="L61" s="35">
        <f>'BASE OBL-COM'!Q4</f>
        <v>0.51875164045156508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0.55829371117206683</v>
      </c>
      <c r="L76" s="76">
        <f>'BASE OBL-COM'!Q23</f>
        <v>0.2786100942246923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0.55829371117206683</v>
      </c>
      <c r="F88" s="64">
        <f>+Ejecucion!D11/Ejecucion!B11</f>
        <v>0.2786100942246923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0.57186966677724704</v>
      </c>
      <c r="L92" s="76">
        <f>'BASE OBL-COM'!H42</f>
        <v>0.48597226340667377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2025-09-08T14:03:35Z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