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sheets/sheet5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ivotCache/pivotCacheRecords1.xml" ContentType="application/vnd.openxmlformats-officedocument.spreadsheetml.pivotCacheRecord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mh-snassa01\mhcp4$\DT\SIS\SIIF\2016AdministracionOperacionSIIFNacion\"/>
    </mc:Choice>
  </mc:AlternateContent>
  <bookViews>
    <workbookView xWindow="0" yWindow="0" windowWidth="20490" windowHeight="7155" tabRatio="978" firstSheet="1" activeTab="11"/>
  </bookViews>
  <sheets>
    <sheet name="PlataformaConvergencia" sheetId="14" r:id="rId1"/>
    <sheet name="Comunicaciones Externas" sheetId="15" r:id="rId2"/>
    <sheet name="Antivirus" sheetId="16" r:id="rId3"/>
    <sheet name="ComunicacionesInternas" sheetId="17" r:id="rId4"/>
    <sheet name="Foglight" sheetId="20" r:id="rId5"/>
    <sheet name="CLIENTES" sheetId="21" r:id="rId6"/>
    <sheet name="SERVERS" sheetId="22" r:id="rId7"/>
    <sheet name="Ingenieros" sheetId="23" r:id="rId8"/>
    <sheet name="Licenciamiento" sheetId="27" r:id="rId9"/>
    <sheet name="CostoEquipoLicencias" sheetId="19" r:id="rId10"/>
    <sheet name="ConsolidadoCostoAnual" sheetId="18" r:id="rId11"/>
    <sheet name="InfreaDRP" sheetId="29" r:id="rId12"/>
    <sheet name="SONDA" sheetId="28" r:id="rId13"/>
  </sheets>
  <definedNames>
    <definedName name="_xlnm._FilterDatabase" localSheetId="7" hidden="1">Ingenieros!$A$1:$G$82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52511" iterate="1"/>
  <pivotCaches>
    <pivotCache cacheId="3" r:id="rId14"/>
  </pivotCaches>
</workbook>
</file>

<file path=xl/calcChain.xml><?xml version="1.0" encoding="utf-8"?>
<calcChain xmlns="http://schemas.openxmlformats.org/spreadsheetml/2006/main">
  <c r="D47" i="18" l="1"/>
  <c r="D23" i="28"/>
  <c r="D19" i="28"/>
  <c r="D24" i="28" s="1"/>
  <c r="D2" i="28" l="1"/>
  <c r="E19" i="28"/>
  <c r="F19" i="28" s="1"/>
  <c r="H19" i="28" s="1"/>
  <c r="E23" i="28" l="1"/>
  <c r="F23" i="28" s="1"/>
  <c r="H23" i="28" s="1"/>
  <c r="E22" i="28"/>
  <c r="F22" i="28" s="1"/>
  <c r="H22" i="28" s="1"/>
  <c r="E16" i="28"/>
  <c r="F16" i="28" s="1"/>
  <c r="H16" i="28" s="1"/>
  <c r="E12" i="28"/>
  <c r="F12" i="28" s="1"/>
  <c r="H12" i="28" s="1"/>
  <c r="E15" i="28"/>
  <c r="F15" i="28" s="1"/>
  <c r="H15" i="28" s="1"/>
  <c r="E11" i="28"/>
  <c r="F11" i="28" s="1"/>
  <c r="H11" i="28" s="1"/>
  <c r="E17" i="28"/>
  <c r="F17" i="28" s="1"/>
  <c r="H17" i="28" s="1"/>
  <c r="E13" i="28"/>
  <c r="F13" i="28" s="1"/>
  <c r="H13" i="28" s="1"/>
  <c r="E9" i="28"/>
  <c r="F9" i="28" s="1"/>
  <c r="H9" i="28" s="1"/>
  <c r="E18" i="28"/>
  <c r="F18" i="28" s="1"/>
  <c r="H18" i="28" s="1"/>
  <c r="E14" i="28"/>
  <c r="F14" i="28" s="1"/>
  <c r="H14" i="28" s="1"/>
  <c r="E10" i="28"/>
  <c r="F10" i="28" s="1"/>
  <c r="H10" i="28" s="1"/>
  <c r="E21" i="28"/>
  <c r="F21" i="28" s="1"/>
  <c r="H21" i="28" s="1"/>
  <c r="E24" i="28"/>
  <c r="F24" i="28" s="1"/>
  <c r="H24" i="28" s="1"/>
  <c r="M62" i="22" l="1"/>
  <c r="L62" i="22"/>
  <c r="D18" i="18" l="1"/>
  <c r="D17" i="18"/>
  <c r="C18" i="18"/>
  <c r="C17" i="18"/>
  <c r="C65" i="22"/>
  <c r="C64" i="22"/>
  <c r="B69" i="22"/>
  <c r="B68" i="22"/>
  <c r="B67" i="22"/>
  <c r="B66" i="22"/>
  <c r="B65" i="22"/>
  <c r="B64" i="22"/>
  <c r="M59" i="22"/>
  <c r="M58" i="22"/>
  <c r="M53" i="22"/>
  <c r="M52" i="22"/>
  <c r="M47" i="22"/>
  <c r="M46" i="22"/>
  <c r="M41" i="22"/>
  <c r="M40" i="22"/>
  <c r="M35" i="22"/>
  <c r="M34" i="22"/>
  <c r="M29" i="22"/>
  <c r="M28" i="22"/>
  <c r="C44" i="22" l="1"/>
  <c r="L60" i="22"/>
  <c r="L54" i="22"/>
  <c r="L48" i="22"/>
  <c r="L42" i="22"/>
  <c r="L36" i="22"/>
  <c r="L30" i="22"/>
  <c r="L59" i="22"/>
  <c r="L58" i="22"/>
  <c r="L53" i="22"/>
  <c r="L52" i="22"/>
  <c r="L47" i="22"/>
  <c r="L46" i="22"/>
  <c r="L41" i="22"/>
  <c r="L40" i="22"/>
  <c r="L35" i="22"/>
  <c r="L34" i="22"/>
  <c r="L29" i="22"/>
  <c r="L28" i="22"/>
  <c r="H60" i="22"/>
  <c r="I59" i="22"/>
  <c r="I58" i="22"/>
  <c r="I60" i="22" s="1"/>
  <c r="I54" i="22"/>
  <c r="H54" i="22"/>
  <c r="I53" i="22"/>
  <c r="I52" i="22"/>
  <c r="M54" i="22" s="1"/>
  <c r="H48" i="22"/>
  <c r="I47" i="22"/>
  <c r="I46" i="22"/>
  <c r="H42" i="22"/>
  <c r="I41" i="22"/>
  <c r="I40" i="22"/>
  <c r="I42" i="22" s="1"/>
  <c r="H36" i="22"/>
  <c r="I35" i="22"/>
  <c r="I34" i="22"/>
  <c r="I36" i="22" s="1"/>
  <c r="H30" i="22"/>
  <c r="I29" i="22"/>
  <c r="I28" i="22"/>
  <c r="M48" i="22" l="1"/>
  <c r="M30" i="22"/>
  <c r="M36" i="22"/>
  <c r="I30" i="22"/>
  <c r="I48" i="22"/>
  <c r="M42" i="22"/>
  <c r="M60" i="22"/>
  <c r="C45" i="22" l="1"/>
  <c r="C7" i="19"/>
  <c r="D7" i="19" s="1"/>
  <c r="H7" i="19" s="1"/>
  <c r="C4" i="19"/>
  <c r="C6" i="19"/>
  <c r="E5" i="19"/>
  <c r="F5" i="19" s="1"/>
  <c r="G5" i="19" s="1"/>
  <c r="C5" i="19"/>
  <c r="D5" i="19" s="1"/>
  <c r="E7" i="19"/>
  <c r="F7" i="19" s="1"/>
  <c r="G7" i="19" s="1"/>
  <c r="H5" i="19" l="1"/>
  <c r="H36" i="14"/>
  <c r="I36" i="14" s="1"/>
  <c r="H35" i="14"/>
  <c r="I35" i="14" s="1"/>
  <c r="H37" i="14"/>
  <c r="I37" i="14" s="1"/>
  <c r="D11" i="18" s="1"/>
  <c r="C10" i="18"/>
  <c r="C3" i="18"/>
  <c r="H44" i="14"/>
  <c r="I44" i="14" s="1"/>
  <c r="H22" i="14"/>
  <c r="I22" i="14" s="1"/>
  <c r="H21" i="14"/>
  <c r="I21" i="14" s="1"/>
  <c r="H34" i="14"/>
  <c r="I34" i="14" s="1"/>
  <c r="H33" i="14"/>
  <c r="C42" i="22"/>
  <c r="C32" i="22"/>
  <c r="C31" i="22"/>
  <c r="M24" i="22"/>
  <c r="M23" i="22"/>
  <c r="M22" i="22"/>
  <c r="D37" i="18"/>
  <c r="D36" i="18"/>
  <c r="F24" i="20"/>
  <c r="E24" i="20"/>
  <c r="E23" i="20"/>
  <c r="F21" i="20"/>
  <c r="E21" i="20"/>
  <c r="F12" i="20"/>
  <c r="E12" i="20"/>
  <c r="H24" i="22" l="1"/>
  <c r="I23" i="22"/>
  <c r="I22" i="22"/>
  <c r="F24" i="22"/>
  <c r="A39" i="22"/>
  <c r="D36" i="22"/>
  <c r="D37" i="22"/>
  <c r="D38" i="22"/>
  <c r="D35" i="22"/>
  <c r="D39" i="22" s="1"/>
  <c r="D25" i="22"/>
  <c r="D26" i="22"/>
  <c r="D27" i="22"/>
  <c r="D28" i="22"/>
  <c r="D24" i="22"/>
  <c r="D29" i="22" s="1"/>
  <c r="C39" i="22"/>
  <c r="C41" i="22" l="1"/>
  <c r="L22" i="22"/>
  <c r="L23" i="22"/>
  <c r="I24" i="22"/>
  <c r="L24" i="22"/>
  <c r="C29" i="22"/>
  <c r="A29" i="22"/>
  <c r="D19" i="18" l="1"/>
  <c r="E17" i="19"/>
  <c r="F17" i="19" s="1"/>
  <c r="G17" i="19" s="1"/>
  <c r="E14" i="19"/>
  <c r="F14" i="19" s="1"/>
  <c r="G14" i="19" s="1"/>
  <c r="C14" i="19"/>
  <c r="D14" i="19" s="1"/>
  <c r="E12" i="19"/>
  <c r="D12" i="19"/>
  <c r="C12" i="19"/>
  <c r="C8" i="19"/>
  <c r="D8" i="19" s="1"/>
  <c r="E11" i="19"/>
  <c r="F11" i="19" s="1"/>
  <c r="G11" i="19" s="1"/>
  <c r="E10" i="19"/>
  <c r="F10" i="19" s="1"/>
  <c r="G10" i="19" s="1"/>
  <c r="E9" i="19"/>
  <c r="F9" i="19" s="1"/>
  <c r="G9" i="19" s="1"/>
  <c r="E8" i="19"/>
  <c r="F8" i="19" s="1"/>
  <c r="E6" i="19"/>
  <c r="F6" i="19" s="1"/>
  <c r="G6" i="19" s="1"/>
  <c r="E4" i="19"/>
  <c r="F4" i="19" s="1"/>
  <c r="G4" i="19" s="1"/>
  <c r="E16" i="19"/>
  <c r="F16" i="19" s="1"/>
  <c r="G16" i="19" s="1"/>
  <c r="E15" i="19"/>
  <c r="F15" i="19" s="1"/>
  <c r="G15" i="19" s="1"/>
  <c r="E13" i="19"/>
  <c r="F13" i="19" s="1"/>
  <c r="G13" i="19" s="1"/>
  <c r="G8" i="19" l="1"/>
  <c r="H8" i="19" s="1"/>
  <c r="F12" i="19"/>
  <c r="G12" i="19" s="1"/>
  <c r="H12" i="19" s="1"/>
  <c r="H14" i="19"/>
  <c r="A3" i="23"/>
  <c r="A4" i="23" s="1"/>
  <c r="A5" i="23" s="1"/>
  <c r="A6" i="23" s="1"/>
  <c r="A7" i="23" s="1"/>
  <c r="A8" i="23" s="1"/>
  <c r="A9" i="23" s="1"/>
  <c r="A10" i="23" s="1"/>
  <c r="D28" i="18"/>
  <c r="D27" i="18"/>
  <c r="B3" i="17"/>
  <c r="D22" i="18" s="1"/>
  <c r="B2" i="17"/>
  <c r="D21" i="18"/>
  <c r="D38" i="18"/>
  <c r="C32" i="18"/>
  <c r="C31" i="18"/>
  <c r="D33" i="18"/>
  <c r="D32" i="18"/>
  <c r="D31" i="18"/>
  <c r="D4" i="16"/>
  <c r="C4" i="16"/>
  <c r="D24" i="18"/>
  <c r="D23" i="18"/>
  <c r="F23" i="20"/>
  <c r="F18" i="19" l="1"/>
  <c r="A11" i="23"/>
  <c r="A12" i="23" s="1"/>
  <c r="A13" i="23" s="1"/>
  <c r="A14" i="23" s="1"/>
  <c r="A15" i="23" s="1"/>
  <c r="A16" i="23" s="1"/>
  <c r="A17" i="23" s="1"/>
  <c r="A18" i="23" s="1"/>
  <c r="A19" i="23" s="1"/>
  <c r="A20" i="23" s="1"/>
  <c r="B7" i="17"/>
  <c r="D25" i="18" s="1"/>
  <c r="E11" i="22"/>
  <c r="E10" i="22"/>
  <c r="E9" i="22"/>
  <c r="E8" i="22"/>
  <c r="E7" i="22"/>
  <c r="E6" i="22"/>
  <c r="E5" i="22"/>
  <c r="E4" i="22"/>
  <c r="E3" i="22"/>
  <c r="E2" i="22"/>
  <c r="F17" i="21"/>
  <c r="F16" i="21"/>
  <c r="F15" i="21"/>
  <c r="F14" i="21"/>
  <c r="F13" i="21"/>
  <c r="F12" i="21"/>
  <c r="F11" i="21"/>
  <c r="F10" i="21"/>
  <c r="F9" i="21"/>
  <c r="F8" i="21"/>
  <c r="F7" i="21"/>
  <c r="F6" i="21"/>
  <c r="F5" i="21"/>
  <c r="F4" i="21"/>
  <c r="F3" i="21"/>
  <c r="F2" i="21"/>
  <c r="F2" i="22" l="1"/>
  <c r="G2" i="21"/>
  <c r="E19" i="20"/>
  <c r="F19" i="20" s="1"/>
  <c r="E18" i="20"/>
  <c r="F18" i="20" s="1"/>
  <c r="E17" i="20"/>
  <c r="F17" i="20" s="1"/>
  <c r="E16" i="20"/>
  <c r="F16" i="20" s="1"/>
  <c r="E15" i="20"/>
  <c r="F15" i="20" s="1"/>
  <c r="E10" i="20"/>
  <c r="F10" i="20" s="1"/>
  <c r="E9" i="20"/>
  <c r="F9" i="20" s="1"/>
  <c r="E8" i="20"/>
  <c r="F8" i="20" s="1"/>
  <c r="E7" i="20"/>
  <c r="F7" i="20" s="1"/>
  <c r="E6" i="20"/>
  <c r="F6" i="20" s="1"/>
  <c r="E5" i="20"/>
  <c r="F5" i="20" s="1"/>
  <c r="E4" i="20"/>
  <c r="F4" i="20" s="1"/>
  <c r="A21" i="23" l="1"/>
  <c r="A22" i="23" s="1"/>
  <c r="A23" i="23" s="1"/>
  <c r="A24" i="23" s="1"/>
  <c r="A25" i="23" s="1"/>
  <c r="A26" i="23" s="1"/>
  <c r="E11" i="20"/>
  <c r="F11" i="20" s="1"/>
  <c r="E20" i="20"/>
  <c r="F20" i="20" s="1"/>
  <c r="A27" i="23" l="1"/>
  <c r="A28" i="23" s="1"/>
  <c r="A29" i="23" s="1"/>
  <c r="A30" i="23" s="1"/>
  <c r="A31" i="23" l="1"/>
  <c r="A32" i="23" s="1"/>
  <c r="A33" i="23" s="1"/>
  <c r="A34" i="23" s="1"/>
  <c r="A35" i="23" s="1"/>
  <c r="A36" i="23" s="1"/>
  <c r="A37" i="23" s="1"/>
  <c r="A38" i="23" s="1"/>
  <c r="A39" i="23" s="1"/>
  <c r="B18" i="19"/>
  <c r="C17" i="19"/>
  <c r="D17" i="19" s="1"/>
  <c r="C16" i="19"/>
  <c r="D16" i="19" s="1"/>
  <c r="C15" i="19"/>
  <c r="D15" i="19" s="1"/>
  <c r="C13" i="19"/>
  <c r="D13" i="19" s="1"/>
  <c r="C11" i="19"/>
  <c r="D11" i="19" s="1"/>
  <c r="C10" i="19"/>
  <c r="D10" i="19" s="1"/>
  <c r="C9" i="19"/>
  <c r="D9" i="19" s="1"/>
  <c r="D6" i="19"/>
  <c r="D4" i="19"/>
  <c r="H15" i="19" l="1"/>
  <c r="H9" i="19"/>
  <c r="E18" i="19"/>
  <c r="G18" i="19" s="1"/>
  <c r="D43" i="18" s="1"/>
  <c r="H11" i="19"/>
  <c r="H17" i="19"/>
  <c r="H4" i="19"/>
  <c r="H6" i="19"/>
  <c r="H13" i="19"/>
  <c r="H10" i="19"/>
  <c r="H16" i="19"/>
  <c r="A40" i="23"/>
  <c r="A41" i="23" s="1"/>
  <c r="A42" i="23" s="1"/>
  <c r="A43" i="23" s="1"/>
  <c r="D18" i="19"/>
  <c r="D42" i="18" s="1"/>
  <c r="H18" i="19" l="1"/>
  <c r="D44" i="18"/>
  <c r="A44" i="23"/>
  <c r="A45" i="23" s="1"/>
  <c r="A46" i="23" s="1"/>
  <c r="A47" i="23" s="1"/>
  <c r="A48" i="23" s="1"/>
  <c r="A49" i="23" s="1"/>
  <c r="A50" i="23" s="1"/>
  <c r="A51" i="23" s="1"/>
  <c r="A52" i="23" s="1"/>
  <c r="A53" i="23" s="1"/>
  <c r="A54" i="23" s="1"/>
  <c r="I33" i="14"/>
  <c r="A55" i="23" l="1"/>
  <c r="A56" i="23" s="1"/>
  <c r="A57" i="23" s="1"/>
  <c r="A58" i="23" s="1"/>
  <c r="D29" i="18"/>
  <c r="A59" i="23" l="1"/>
  <c r="A60" i="23" s="1"/>
  <c r="A61" i="23" s="1"/>
  <c r="A62" i="23" s="1"/>
  <c r="A63" i="23" s="1"/>
  <c r="A64" i="23" s="1"/>
  <c r="A65" i="23" s="1"/>
  <c r="A66" i="23" s="1"/>
  <c r="A67" i="23" s="1"/>
  <c r="H2" i="14"/>
  <c r="I2" i="14" s="1"/>
  <c r="H3" i="14"/>
  <c r="I3" i="14" s="1"/>
  <c r="H4" i="14"/>
  <c r="I4" i="14" s="1"/>
  <c r="H5" i="14"/>
  <c r="I5" i="14" s="1"/>
  <c r="H6" i="14"/>
  <c r="I6" i="14" s="1"/>
  <c r="H7" i="14"/>
  <c r="I7" i="14" s="1"/>
  <c r="H8" i="14"/>
  <c r="I8" i="14" s="1"/>
  <c r="H9" i="14"/>
  <c r="I9" i="14" s="1"/>
  <c r="H10" i="14"/>
  <c r="I10" i="14" s="1"/>
  <c r="H11" i="14"/>
  <c r="I11" i="14" s="1"/>
  <c r="H12" i="14"/>
  <c r="I12" i="14" s="1"/>
  <c r="H13" i="14"/>
  <c r="I13" i="14" s="1"/>
  <c r="H14" i="14"/>
  <c r="I14" i="14" s="1"/>
  <c r="H15" i="14"/>
  <c r="I15" i="14" s="1"/>
  <c r="H16" i="14"/>
  <c r="I16" i="14" s="1"/>
  <c r="H17" i="14"/>
  <c r="I17" i="14" s="1"/>
  <c r="H23" i="14"/>
  <c r="I23" i="14" s="1"/>
  <c r="D4" i="18" s="1"/>
  <c r="H24" i="14"/>
  <c r="I24" i="14" s="1"/>
  <c r="H25" i="14"/>
  <c r="I25" i="14" s="1"/>
  <c r="H26" i="14"/>
  <c r="I26" i="14" s="1"/>
  <c r="D6" i="18" s="1"/>
  <c r="H27" i="14"/>
  <c r="I27" i="14" s="1"/>
  <c r="D7" i="18" s="1"/>
  <c r="H28" i="14"/>
  <c r="I28" i="14" s="1"/>
  <c r="H29" i="14"/>
  <c r="I29" i="14" s="1"/>
  <c r="D8" i="18" s="1"/>
  <c r="H30" i="14"/>
  <c r="I30" i="14" s="1"/>
  <c r="D9" i="18" s="1"/>
  <c r="H20" i="14"/>
  <c r="I20" i="14" s="1"/>
  <c r="H31" i="14"/>
  <c r="I31" i="14" s="1"/>
  <c r="H32" i="14"/>
  <c r="I32" i="14" s="1"/>
  <c r="H38" i="14"/>
  <c r="I38" i="14" s="1"/>
  <c r="H39" i="14"/>
  <c r="I39" i="14" s="1"/>
  <c r="H40" i="14"/>
  <c r="I40" i="14" s="1"/>
  <c r="H41" i="14"/>
  <c r="I41" i="14" s="1"/>
  <c r="H18" i="14"/>
  <c r="I18" i="14" s="1"/>
  <c r="H19" i="14"/>
  <c r="I19" i="14" s="1"/>
  <c r="H42" i="14"/>
  <c r="I42" i="14" s="1"/>
  <c r="H43" i="14"/>
  <c r="I43" i="14" s="1"/>
  <c r="H45" i="14"/>
  <c r="I45" i="14" s="1"/>
  <c r="D13" i="18" l="1"/>
  <c r="D10" i="18"/>
  <c r="D12" i="18"/>
  <c r="D5" i="18"/>
  <c r="D14" i="18"/>
  <c r="D3" i="18"/>
  <c r="D15" i="18" s="1"/>
  <c r="D46" i="18" s="1"/>
  <c r="H46" i="14"/>
  <c r="I46" i="14" s="1"/>
  <c r="A68" i="23"/>
  <c r="A70" i="23" s="1"/>
  <c r="A71" i="23" s="1"/>
  <c r="A72" i="23" s="1"/>
  <c r="A73" i="23" s="1"/>
  <c r="A74" i="23" s="1"/>
  <c r="A75" i="23" s="1"/>
  <c r="A76" i="23" s="1"/>
  <c r="A77" i="23" s="1"/>
  <c r="A78" i="23" s="1"/>
  <c r="A79" i="23" s="1"/>
  <c r="A80" i="23" s="1"/>
  <c r="A81" i="23" s="1"/>
  <c r="A82" i="23" s="1"/>
  <c r="A69" i="23"/>
  <c r="H48" i="14" l="1"/>
</calcChain>
</file>

<file path=xl/sharedStrings.xml><?xml version="1.0" encoding="utf-8"?>
<sst xmlns="http://schemas.openxmlformats.org/spreadsheetml/2006/main" count="1002" uniqueCount="427">
  <si>
    <t>USE339FC1P</t>
  </si>
  <si>
    <t>USE339FC27</t>
  </si>
  <si>
    <t>USE339FC21</t>
  </si>
  <si>
    <t>USE339FC1T</t>
  </si>
  <si>
    <t>USE339FC26</t>
  </si>
  <si>
    <t>USE339FC1R</t>
  </si>
  <si>
    <t>USE339FC1V</t>
  </si>
  <si>
    <t>USE339FC22</t>
  </si>
  <si>
    <t>USE339FC24</t>
  </si>
  <si>
    <t>USE339FC1Y</t>
  </si>
  <si>
    <t>USE339FC25</t>
  </si>
  <si>
    <t>USE339FC1W</t>
  </si>
  <si>
    <t>USE339FC20</t>
  </si>
  <si>
    <t>USE339FC1X</t>
  </si>
  <si>
    <t>USE339FC1S</t>
  </si>
  <si>
    <t>USE339FC23</t>
  </si>
  <si>
    <t>USE340H2LS</t>
  </si>
  <si>
    <t>USE340FV5D</t>
  </si>
  <si>
    <t>USB3393099</t>
  </si>
  <si>
    <t>USB3393092</t>
  </si>
  <si>
    <t>USE340H2LR</t>
  </si>
  <si>
    <t>5CW33212CB</t>
  </si>
  <si>
    <t>2C433162ZD</t>
  </si>
  <si>
    <t>2M23240005</t>
  </si>
  <si>
    <t>MX233600XY</t>
  </si>
  <si>
    <t>100GB 6G SAS 2.5in HDD</t>
  </si>
  <si>
    <t>HP KVM Server</t>
  </si>
  <si>
    <t>HP KVM TFT Display</t>
  </si>
  <si>
    <t>42U Rack</t>
  </si>
  <si>
    <t>2TB 6G SAS HDD</t>
  </si>
  <si>
    <t>300GB 6G SAS 2.5in HDD</t>
  </si>
  <si>
    <t>Tipo</t>
  </si>
  <si>
    <t>Servidor</t>
  </si>
  <si>
    <t>Tipo 1</t>
  </si>
  <si>
    <t>HP BL460c G8 - E5 2660, 2 x 8 Cores, 10 G, 16 GB Kit, 256GB</t>
  </si>
  <si>
    <t>3PAR Nodos</t>
  </si>
  <si>
    <t>Rack</t>
  </si>
  <si>
    <t>HP 3PAR 7000 Service Processor - ProLiant DL320e G8</t>
  </si>
  <si>
    <t>Switch KVM</t>
  </si>
  <si>
    <t>Consola KVM</t>
  </si>
  <si>
    <t>HP DL320e G8 Server (CMS)</t>
  </si>
  <si>
    <t>MX234000C2</t>
  </si>
  <si>
    <t>MX234000C5</t>
  </si>
  <si>
    <t>Modulos 10G</t>
  </si>
  <si>
    <t>Modulos Cisco 10G</t>
  </si>
  <si>
    <t>Enclosure</t>
  </si>
  <si>
    <t>Switch SAN</t>
  </si>
  <si>
    <t>24/24 SAN SWITCH - 24 Transceiver 8G (AJ716B)</t>
  </si>
  <si>
    <t>Transceiver 10G (X2-10GB-LRM)</t>
  </si>
  <si>
    <t>Transceiver 10G (X2-10GB-SR)</t>
  </si>
  <si>
    <t>Enclosure c7000 - 6 Fuentes de Poder, 10 Ventiladores, 2 OA, 2 VC Flex Fabric</t>
  </si>
  <si>
    <t>HP 3Par 7400</t>
  </si>
  <si>
    <t>1.6</t>
  </si>
  <si>
    <t>1.1</t>
  </si>
  <si>
    <t>2.4</t>
  </si>
  <si>
    <t>3.1</t>
  </si>
  <si>
    <t>numeral del contrato</t>
  </si>
  <si>
    <t>6.</t>
  </si>
  <si>
    <t>5.</t>
  </si>
  <si>
    <t>SAL1634KYYC</t>
  </si>
  <si>
    <t xml:space="preserve">SAL1650U7PR  </t>
  </si>
  <si>
    <t>Costo Unitario 
Con IVA</t>
  </si>
  <si>
    <t>Costo Total
Con IVA</t>
  </si>
  <si>
    <t>Software</t>
  </si>
  <si>
    <t>Virtualizacion VMWARE</t>
  </si>
  <si>
    <t>Licencia Sistema Operativo Windows 2012 DataCenter</t>
  </si>
  <si>
    <t>Sofware Gestion Convergencia</t>
  </si>
  <si>
    <t>TOTAL</t>
  </si>
  <si>
    <t>SERIAL</t>
  </si>
  <si>
    <t>CANT.</t>
  </si>
  <si>
    <t>Discos</t>
  </si>
  <si>
    <t>DESCRIPCION</t>
  </si>
  <si>
    <t>EQUIPO</t>
  </si>
  <si>
    <t>VPN SSL</t>
  </si>
  <si>
    <t>Soporte y Licenciamiento</t>
  </si>
  <si>
    <t xml:space="preserve">Servidores </t>
  </si>
  <si>
    <t>Físicos</t>
  </si>
  <si>
    <t>Cantidad</t>
  </si>
  <si>
    <t xml:space="preserve">INFRAESTRUCTURA </t>
  </si>
  <si>
    <t>SOLUCIONES FIREWALL</t>
  </si>
  <si>
    <t>SOLUCIONES BALANCEADORES</t>
  </si>
  <si>
    <t>SOLUCIONES LAN (CORE )</t>
  </si>
  <si>
    <t>SOLUCIONES LAN (SWITCHS)</t>
  </si>
  <si>
    <t>Costo Aprox. A 1 año IVA Incluido</t>
  </si>
  <si>
    <t>CANTIDAD</t>
  </si>
  <si>
    <t>COSTO Aprox. A 1 año IVA INCLUIDO</t>
  </si>
  <si>
    <t>Virtualizados - Con MOVE licenciamiento  14 ESX</t>
  </si>
  <si>
    <t>Antivirus</t>
  </si>
  <si>
    <t>contrato mantenimiento por un año</t>
  </si>
  <si>
    <t>Vital Util</t>
  </si>
  <si>
    <t>años</t>
  </si>
  <si>
    <t>Valor/Año</t>
  </si>
  <si>
    <t>Plataforma - Convergencia (Compra con Soporte: 5 años)</t>
  </si>
  <si>
    <t>Comunicaciones Internas (Costo Contrato mantenimiento Anual)</t>
  </si>
  <si>
    <t>Comunicaciones Externas (Costo Contrato Anual)</t>
  </si>
  <si>
    <t>Desarrollo</t>
  </si>
  <si>
    <t>Integrador - SCM</t>
  </si>
  <si>
    <t>Infraestructura</t>
  </si>
  <si>
    <t>Operación</t>
  </si>
  <si>
    <t>Rol</t>
  </si>
  <si>
    <t>Etiquetas de fila</t>
  </si>
  <si>
    <t>DESARROLLO</t>
  </si>
  <si>
    <t>INFRAESTRUCTURA</t>
  </si>
  <si>
    <t>SIIF NACION</t>
  </si>
  <si>
    <t>Total general</t>
  </si>
  <si>
    <t>Estación Trabajo</t>
  </si>
  <si>
    <t>QA - No Funciuonal</t>
  </si>
  <si>
    <t>QA - Funcional</t>
  </si>
  <si>
    <t>Estaciones de trabajo para desarrollo</t>
  </si>
  <si>
    <t>Precio Unitario</t>
  </si>
  <si>
    <t>Estación de trabajo</t>
  </si>
  <si>
    <t>Costo Por Año</t>
  </si>
  <si>
    <t xml:space="preserve">Estación de trabajo </t>
  </si>
  <si>
    <t>Costo licencia</t>
  </si>
  <si>
    <t>Años Equipo</t>
  </si>
  <si>
    <t>Años Licencia</t>
  </si>
  <si>
    <t>Costo DeskTop/Licencias</t>
  </si>
  <si>
    <t>DeskTop</t>
  </si>
  <si>
    <t>Licencias</t>
  </si>
  <si>
    <t>Costo Equipo Unitario</t>
  </si>
  <si>
    <t xml:space="preserve">CostoEquipos Anual </t>
  </si>
  <si>
    <t xml:space="preserve">Costo Anual licencia </t>
  </si>
  <si>
    <t xml:space="preserve">Canales Internet, NAP Colombia y GNAP </t>
  </si>
  <si>
    <t>Vigencia</t>
  </si>
  <si>
    <t>Servicio</t>
  </si>
  <si>
    <t xml:space="preserve">Valor </t>
  </si>
  <si>
    <t>Acceso Internet/NAP Colombia/ GNAP</t>
  </si>
  <si>
    <t>Nota: va hasta 31 de  Mayo 2017</t>
  </si>
  <si>
    <t>VPN SSL:</t>
  </si>
  <si>
    <t>ITEM 1 (FUNCIONAMIENTO)</t>
  </si>
  <si>
    <t>Actualizar  los servicios de renovación del soporte, mantenimientos técnicos y actualización del software de las soluciones de VPN SSL existentes.</t>
  </si>
  <si>
    <t>TRM</t>
  </si>
  <si>
    <t>VALOR EN USD</t>
  </si>
  <si>
    <t>VALOR EN PESOS</t>
  </si>
  <si>
    <t>Producto</t>
  </si>
  <si>
    <t>Valor Unitario</t>
  </si>
  <si>
    <t>Valor Total Dolares</t>
  </si>
  <si>
    <t>Valor Total Pesos</t>
  </si>
  <si>
    <t>SIIF PRODUCCION</t>
  </si>
  <si>
    <t>FOGLIGHT SERVER FOR FSM</t>
  </si>
  <si>
    <t>Foglight Application Management Suite Basic</t>
  </si>
  <si>
    <t>Foglight End User</t>
  </si>
  <si>
    <t>Foglight for .NET</t>
  </si>
  <si>
    <t>Foglight FTR 1</t>
  </si>
  <si>
    <t>Foglight for SQL Server</t>
  </si>
  <si>
    <t>Renovar</t>
  </si>
  <si>
    <t>Nuevo</t>
  </si>
  <si>
    <t>R / N</t>
  </si>
  <si>
    <t>Parcial</t>
  </si>
  <si>
    <t>Total IVA Incl</t>
  </si>
  <si>
    <t>Base</t>
  </si>
  <si>
    <t>CAL Windows</t>
  </si>
  <si>
    <t>TOOLS SQL SERVER</t>
  </si>
  <si>
    <t>CAL SystemCenter</t>
  </si>
  <si>
    <t>VISIO</t>
  </si>
  <si>
    <t>CAL Exchange Stdr</t>
  </si>
  <si>
    <t>VISIO (MSDN)</t>
  </si>
  <si>
    <t>CAL SharePoint Stdr</t>
  </si>
  <si>
    <t>WinEnt for SA</t>
  </si>
  <si>
    <t>SQL SERVER DEVELOPER - MSDN</t>
  </si>
  <si>
    <t>Avanzado</t>
  </si>
  <si>
    <t>CAL Exchange Entp</t>
  </si>
  <si>
    <t>CAL SharePoint Entp</t>
  </si>
  <si>
    <t>Productividad</t>
  </si>
  <si>
    <t>Office Pro</t>
  </si>
  <si>
    <t>Project Pro+CAL Project</t>
  </si>
  <si>
    <t>Visio Pro</t>
  </si>
  <si>
    <t>Vstudio Pro+CAL TFS</t>
  </si>
  <si>
    <t>Vstudio Ent+CAL TFS</t>
  </si>
  <si>
    <t>Vstudio Test+CAL TFS</t>
  </si>
  <si>
    <t>CAL Project</t>
  </si>
  <si>
    <t>CAL TFS</t>
  </si>
  <si>
    <t>Tools</t>
  </si>
  <si>
    <t>Productos MS x 2años</t>
  </si>
  <si>
    <t>Antivirus x 3 años</t>
  </si>
  <si>
    <t>En la columna (R / N) seleccionar (N)nuevos o (R)enovar</t>
  </si>
  <si>
    <t>Total</t>
  </si>
  <si>
    <t>Windows Estandar x 2CPU</t>
  </si>
  <si>
    <t>Windows Datacenter x 2CPU</t>
  </si>
  <si>
    <t>SQL Estandar x 2Core</t>
  </si>
  <si>
    <t>SQL Enterprise x 2Core</t>
  </si>
  <si>
    <t>Exchange Estandar</t>
  </si>
  <si>
    <t>Exchange Enterprise</t>
  </si>
  <si>
    <t>SharePoint Estandar</t>
  </si>
  <si>
    <t>Project Server</t>
  </si>
  <si>
    <t>System Center Estandar x 2CPU</t>
  </si>
  <si>
    <t>System Center Datacenter x 2CPU</t>
  </si>
  <si>
    <t>R</t>
  </si>
  <si>
    <t>SIIF Nación Producción</t>
  </si>
  <si>
    <t>Foglight for SQL Server PASS</t>
  </si>
  <si>
    <t>VALOR TOTAL</t>
  </si>
  <si>
    <t>SIIF NO PRODUCTIVO</t>
  </si>
  <si>
    <t>SIIF No productivo (QA, preproduccion, Laboratorio)</t>
  </si>
  <si>
    <t>Descripción</t>
  </si>
  <si>
    <t xml:space="preserve">Costo Unitario </t>
  </si>
  <si>
    <t>Costo Total</t>
  </si>
  <si>
    <t>MOVE (ESX)</t>
  </si>
  <si>
    <t>Servidores Físicos SIIF Nación</t>
  </si>
  <si>
    <t>Monitoreo - Foghlight</t>
  </si>
  <si>
    <t>Productivo</t>
  </si>
  <si>
    <t>No Productivo</t>
  </si>
  <si>
    <t>Servicio de conexión 100MB Intenet y 64MB para NAP y GNAP</t>
  </si>
  <si>
    <t>No</t>
  </si>
  <si>
    <t>Proyecto</t>
  </si>
  <si>
    <t>Nombre</t>
  </si>
  <si>
    <t>Cédula</t>
  </si>
  <si>
    <t>PROJECT SERVER WEB</t>
  </si>
  <si>
    <t>TEST PROFESSIONAL</t>
  </si>
  <si>
    <t>VISUAL STUDIO ULTIMATE</t>
  </si>
  <si>
    <t>Estacion de Trabajo</t>
  </si>
  <si>
    <t>NA</t>
  </si>
  <si>
    <t>PROJECT PROFESSIONAL</t>
  </si>
  <si>
    <t>Adriana Milena Rangel Carrillo</t>
  </si>
  <si>
    <t>Alexander Arjona Aponte</t>
  </si>
  <si>
    <t>Alix Carolina Navarro Barreto</t>
  </si>
  <si>
    <t xml:space="preserve">Andres Alberto Aguirre Luna </t>
  </si>
  <si>
    <t>Andres Felipe Zambrano Arenas</t>
  </si>
  <si>
    <t>Boris Orlando Paez Sotomonte</t>
  </si>
  <si>
    <t>Camilo Andres Ramirez Patiño</t>
  </si>
  <si>
    <t>Camilo Eduardo Rangel Diago</t>
  </si>
  <si>
    <t>Carla Patricia Durango Velandia</t>
  </si>
  <si>
    <t>Cesar Orlando Andrade Saavedra</t>
  </si>
  <si>
    <t xml:space="preserve">Claudia Evelia Lopez Hernandez </t>
  </si>
  <si>
    <t>Claudia Rocio Castellanos Blanco</t>
  </si>
  <si>
    <t>Dary Luz Gonzalez Ahumada</t>
  </si>
  <si>
    <t>Didier Anibal Beltran Cadena</t>
  </si>
  <si>
    <t>Diego Alejandro Ospina Pinzon</t>
  </si>
  <si>
    <t>Diego Alexander Estupiñan Sisa</t>
  </si>
  <si>
    <t>Diego Eduardo Rozo Castañeda</t>
  </si>
  <si>
    <t>DESARROLLADOR</t>
  </si>
  <si>
    <t>Emir Leonel Montañez Coronado</t>
  </si>
  <si>
    <t>Fernando Ramirez Gonzalez</t>
  </si>
  <si>
    <t>Fredy Alejandro Gutierrez Achury</t>
  </si>
  <si>
    <t>Gineth Paola Saenz Pinzon</t>
  </si>
  <si>
    <t>Guillermo Alejandro Puentes Gomez</t>
  </si>
  <si>
    <t>Hector Andres Leal Vega</t>
  </si>
  <si>
    <t>Javier Eduardo Lizarazo Lizarazo</t>
  </si>
  <si>
    <t>Jesús Daniel Rodríguez Reinel</t>
  </si>
  <si>
    <t>Jhon Eduardo Santoyo Avila</t>
  </si>
  <si>
    <t>Jhon Fredy Hernandez Leal</t>
  </si>
  <si>
    <t>Jhon Garcia Jara</t>
  </si>
  <si>
    <t>Jhonatan Javier Garcia Catañeda</t>
  </si>
  <si>
    <t>John Jairo Betancourt Arango</t>
  </si>
  <si>
    <t>Jorge Alberto Gonzalez Bernal</t>
  </si>
  <si>
    <t xml:space="preserve">Jorge Sandoval Gonzalez </t>
  </si>
  <si>
    <t>Jose Alberto Ahumada Linares</t>
  </si>
  <si>
    <t>Juan Alejandro Moreno Rodriguez</t>
  </si>
  <si>
    <t xml:space="preserve">Julio Cesar Moreno Perdomo </t>
  </si>
  <si>
    <t>Lady Catalina Castillo Puentes</t>
  </si>
  <si>
    <t>Lady Dayana Pinto Bernal</t>
  </si>
  <si>
    <t>Leonardo Abello Rico</t>
  </si>
  <si>
    <t>Luis Alejandro Vargas Bolivar</t>
  </si>
  <si>
    <t>Luis Carlos Triana Uribe</t>
  </si>
  <si>
    <t>Luis Grimaldo Begazo Samanez</t>
  </si>
  <si>
    <t>Marby Yulied Leguizamon Gamez</t>
  </si>
  <si>
    <t>Mario Fernando Rubiano Cajiao</t>
  </si>
  <si>
    <t>Mauricio Peña Rosas</t>
  </si>
  <si>
    <t>Mauricio Torres Escobar</t>
  </si>
  <si>
    <t>Natuska Gómez Ayala</t>
  </si>
  <si>
    <t>Nelson Ricardo Restrepo Ramirez</t>
  </si>
  <si>
    <t>PRUEBAS FUNCIONALES</t>
  </si>
  <si>
    <t>Olga Lucia Prieto Grimaldo</t>
  </si>
  <si>
    <t>Oscar Alexander Nope Saavedra</t>
  </si>
  <si>
    <t>Oscar Dario León Ayala</t>
  </si>
  <si>
    <t>Rafael Guillermo Plazas Sierra</t>
  </si>
  <si>
    <t>Raul Alberto Omen Enriquez</t>
  </si>
  <si>
    <t>LIDER DESARROLLO</t>
  </si>
  <si>
    <t xml:space="preserve">Tulio Armando Niño Ballesteros </t>
  </si>
  <si>
    <t>William Javier Barreto Parra</t>
  </si>
  <si>
    <t>Wilson Reinel Zambrano</t>
  </si>
  <si>
    <t>Etiquetas de columna</t>
  </si>
  <si>
    <t>ROL</t>
  </si>
  <si>
    <t>OPERADOR</t>
  </si>
  <si>
    <t>PRUEBAS NO FUNCIONALES</t>
  </si>
  <si>
    <t>RIESGOS</t>
  </si>
  <si>
    <t>Cuenta de No</t>
  </si>
  <si>
    <t>Documentador - Riesgos</t>
  </si>
  <si>
    <t>Administrador Requerimientos</t>
  </si>
  <si>
    <t>Ingrid Johana Leal Cuevas</t>
  </si>
  <si>
    <t>No equipos</t>
  </si>
  <si>
    <t>IVA</t>
  </si>
  <si>
    <t>Lider Infraestructura</t>
  </si>
  <si>
    <t>Infraestructura - Comunicaciones</t>
  </si>
  <si>
    <t>Costo licencia unitaria</t>
  </si>
  <si>
    <t>Equipos de Trabajo</t>
  </si>
  <si>
    <t>Reporting</t>
  </si>
  <si>
    <t>Nodos</t>
  </si>
  <si>
    <t>Nodo Contingencia</t>
  </si>
  <si>
    <t>Base Reporting</t>
  </si>
  <si>
    <t>Cores</t>
  </si>
  <si>
    <t>Virtual</t>
  </si>
  <si>
    <t>Fisico</t>
  </si>
  <si>
    <t xml:space="preserve">SQL Enterprise </t>
  </si>
  <si>
    <t>SQL Estandar</t>
  </si>
  <si>
    <t>Nodos Sesion</t>
  </si>
  <si>
    <t>Nodo PTE</t>
  </si>
  <si>
    <t>Foglight</t>
  </si>
  <si>
    <t>x2Core</t>
  </si>
  <si>
    <t>Contingencia  RS</t>
  </si>
  <si>
    <t>PRODUCCION</t>
  </si>
  <si>
    <t>CAPACITACION</t>
  </si>
  <si>
    <t>PRODUCTO</t>
  </si>
  <si>
    <t>AÑOS</t>
  </si>
  <si>
    <t>VALOR POR AÑO</t>
  </si>
  <si>
    <t>VALOR ENTERPRISE</t>
  </si>
  <si>
    <t>VALOR ESTANDAR</t>
  </si>
  <si>
    <t>Licencias SQL SERVER</t>
  </si>
  <si>
    <t>AMBIENTE PRODUCCION</t>
  </si>
  <si>
    <t>Licencias Enterprise</t>
  </si>
  <si>
    <t>Licencias Estandar</t>
  </si>
  <si>
    <t>VALOR ANUAL</t>
  </si>
  <si>
    <t>2M25340DRF</t>
  </si>
  <si>
    <t>2M25340DRG</t>
  </si>
  <si>
    <t>HP BL460c Gen9 E5-2698v3, 2 x 8 Cores, 512GB - 2015</t>
  </si>
  <si>
    <t>Licencia Sistema Operativo Windows 2012 DataCenter - 2015</t>
  </si>
  <si>
    <t>Gabinete</t>
  </si>
  <si>
    <t>Transceiver 10G</t>
  </si>
  <si>
    <t>Disco de 900 GB</t>
  </si>
  <si>
    <t>Disco de 480 GB</t>
  </si>
  <si>
    <t>Discos NLSAS de 2 TB</t>
  </si>
  <si>
    <t>Gabinete de Discos</t>
  </si>
  <si>
    <t>Computador de Trabajo</t>
  </si>
  <si>
    <t>Estaciones de Trabajo - Desarrolladores</t>
  </si>
  <si>
    <t>Lider Desarrollo</t>
  </si>
  <si>
    <t>Lider QA</t>
  </si>
  <si>
    <t>QA</t>
  </si>
  <si>
    <t>ESPECIALES</t>
  </si>
  <si>
    <t>ACEPTACION</t>
  </si>
  <si>
    <t>PREPRODUCCION</t>
  </si>
  <si>
    <t>HALLAZGOS</t>
  </si>
  <si>
    <t>CIERRE ANUAL</t>
  </si>
  <si>
    <t>VALOR TOTAL ESTANDAR</t>
  </si>
  <si>
    <t>VALOR TOTAL ENTERPRISE</t>
  </si>
  <si>
    <t>VALOR ANUAL ESTANDAR</t>
  </si>
  <si>
    <t>VALOR ANUAL ENTERPRISE</t>
  </si>
  <si>
    <t>VALOR TOTAL LICENCIAS SQL SERVER</t>
  </si>
  <si>
    <t>VALOR ANUAL LICENCIAS SQL SERVER</t>
  </si>
  <si>
    <t>TOTAL LICENCIAS</t>
  </si>
  <si>
    <t xml:space="preserve">Valor mensual despues de la Subasta </t>
  </si>
  <si>
    <t>% ahorro por subasta inversa</t>
  </si>
  <si>
    <t>Número de meses para pago por servicios prestados</t>
  </si>
  <si>
    <t>2 meses de 2016</t>
  </si>
  <si>
    <t>12 meses de 2017</t>
  </si>
  <si>
    <t>7 meses de 2018</t>
  </si>
  <si>
    <t>SONDA DE COLOMBIA S.A.</t>
  </si>
  <si>
    <t>VALOR DEL SERVICIO</t>
  </si>
  <si>
    <t>DESCRIPCIÓN</t>
  </si>
  <si>
    <t>VALOR MENSUAL CON IVA</t>
  </si>
  <si>
    <t>DESCUENTO MENSUAL POR SUBASTA</t>
  </si>
  <si>
    <t>VALOR MENSUAL FINAL DESPUES DE SUBASTA CON IVA</t>
  </si>
  <si>
    <t>NÚMERO MESES</t>
  </si>
  <si>
    <t>VALOR TOTAL CONTRATO CON IVA</t>
  </si>
  <si>
    <t>SERVICIO CENTRO ALTERNO DE DATOS</t>
  </si>
  <si>
    <t>Servicios de Directorio Activo, DNS (MS Windows)</t>
  </si>
  <si>
    <t>Servicio de DNS externo</t>
  </si>
  <si>
    <t>Servicio SIIF-Nación</t>
  </si>
  <si>
    <t>Servicio aplicaciones  WEB  MHCP plataforma: Oracle 11g ( Deuda Pública, Sistema Portafolio Financiero – PORFIN, Sistemas Administrativos y del Tesoro)</t>
  </si>
  <si>
    <t>Servicio Aplicaciones WEB, Plataforma: Microsoft (DELFOS, Sobretasa,  Acreencias, PKI)</t>
  </si>
  <si>
    <t>Servicio Portales MHCP (Oracle Portal)</t>
  </si>
  <si>
    <t>Servicio Portal de Transparencia Económica</t>
  </si>
  <si>
    <t>Servicio Correo Electrónico (MS Exchange)</t>
  </si>
  <si>
    <t>Servicio Servidor de Archivos</t>
  </si>
  <si>
    <t>Costo Centro de Operación Alterno</t>
  </si>
  <si>
    <t>Sub Total Servicio mensual Centro de Datos Alterno</t>
  </si>
  <si>
    <t>SERVICIO CANALES DE COMUNICACIÓN DATOS ALTERNO</t>
  </si>
  <si>
    <t>Canal de Replicación y tareas administrativas Centro de Datos Principal – Centro de Datos Alterno</t>
  </si>
  <si>
    <t>Canal de internet</t>
  </si>
  <si>
    <t xml:space="preserve">Sub-total servicio mensual Canales de Comunicación Datos Alterno </t>
  </si>
  <si>
    <t xml:space="preserve">VALOR TOTAL MENSUAL OFERTA INCLUIDO IVA </t>
  </si>
  <si>
    <t xml:space="preserve"> </t>
  </si>
  <si>
    <t>21 meses</t>
  </si>
  <si>
    <t>SERVICIOS SIIFNación</t>
  </si>
  <si>
    <t>Cant.</t>
  </si>
  <si>
    <t>V /F</t>
  </si>
  <si>
    <t>Hipervisor</t>
  </si>
  <si>
    <t>Procesador</t>
  </si>
  <si>
    <t>Almacenamiento</t>
  </si>
  <si>
    <t>Memoria</t>
  </si>
  <si>
    <t>Sistema Operativo</t>
  </si>
  <si>
    <t xml:space="preserve">Controlador de dominio </t>
  </si>
  <si>
    <t>F</t>
  </si>
  <si>
    <t>1 Quad Core</t>
  </si>
  <si>
    <t xml:space="preserve">1 discos de 200 GB </t>
  </si>
  <si>
    <t>16 GB</t>
  </si>
  <si>
    <t>Windows Server 2012 R2 Standard</t>
  </si>
  <si>
    <t>Base de Datos SQL Server 2012 Enterprise</t>
  </si>
  <si>
    <t>2 Octa Core</t>
  </si>
  <si>
    <t>7 discos de 800 GB c/u</t>
  </si>
  <si>
    <t>Conexión| HBA a la SAN</t>
  </si>
  <si>
    <t>256GB</t>
  </si>
  <si>
    <t>SQL Server 2012 Enterprise</t>
  </si>
  <si>
    <t>MS SQL Server Agent</t>
  </si>
  <si>
    <t xml:space="preserve">MS SQL Server Integration Services </t>
  </si>
  <si>
    <t>Base de datos Transaccional,</t>
  </si>
  <si>
    <t>MS DTC</t>
  </si>
  <si>
    <t xml:space="preserve">Servicio Reporting Service </t>
  </si>
  <si>
    <t>V</t>
  </si>
  <si>
    <t>VMware 5.1</t>
  </si>
  <si>
    <t>8 VCPU</t>
  </si>
  <si>
    <t>2 discos de 100 GB c/u</t>
  </si>
  <si>
    <t>Conexión HBA a la SAN</t>
  </si>
  <si>
    <t>64 GB</t>
  </si>
  <si>
    <t>MS SQL Server 2012 Reporting Components</t>
  </si>
  <si>
    <t>SQL Server Reporting Services</t>
  </si>
  <si>
    <t>Servidor Presentación</t>
  </si>
  <si>
    <t>1 discos de 150 GB</t>
  </si>
  <si>
    <t>Windows Server Web Edition 2008 x 64 R2</t>
  </si>
  <si>
    <t>MS .NET Framework 4.0</t>
  </si>
  <si>
    <t>IIS 7.5</t>
  </si>
  <si>
    <t>MS WSE 3.0</t>
  </si>
  <si>
    <t>Servidor Negocio</t>
  </si>
  <si>
    <t>16 VCPU</t>
  </si>
  <si>
    <t>IIS 8.5</t>
  </si>
  <si>
    <t>Servidor ARES</t>
  </si>
  <si>
    <t>1 Octa Core</t>
  </si>
  <si>
    <t>2 discos de 700 GB</t>
  </si>
  <si>
    <t>J2SE Runtime Environment 5.0 Update 12</t>
  </si>
  <si>
    <t>J2SE Development Kit 5.0 Update 12</t>
  </si>
  <si>
    <t>Web Service</t>
  </si>
  <si>
    <t>4 VCPU</t>
  </si>
  <si>
    <t>Reportes</t>
  </si>
  <si>
    <t>Carga Masiva</t>
  </si>
  <si>
    <t>Batch Service</t>
  </si>
  <si>
    <t>Sesión</t>
  </si>
  <si>
    <t>2 discos de 200 GB, Conexión HBA a la SAN</t>
  </si>
  <si>
    <t>Actualizaciones</t>
  </si>
  <si>
    <t>1 disco de 400 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</si>
</sst>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6" formatCode="&quot;$&quot;#,##0;[Red]\-&quot;$&quot;#,##0"/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$-240A]* #,##0.00_-;\-[$$-240A]* #,##0.00_-;_-[$$-240A]* &quot;-&quot;??_-;_-@_-"/>
    <numFmt numFmtId="165" formatCode="[$$-240A]#,##0.00;\-[$$-240A]#,##0.00"/>
    <numFmt numFmtId="166" formatCode="&quot;$&quot;\ #,##0.00"/>
    <numFmt numFmtId="167" formatCode="&quot;$&quot;\ #,##0_);[Red]\(&quot;$&quot;\ #,##0\)"/>
    <numFmt numFmtId="168" formatCode="_(&quot;$&quot;\ * #,##0_);_(&quot;$&quot;\ * \(#,##0\);_(&quot;$&quot;\ * &quot;-&quot;??_);_(@_)"/>
    <numFmt numFmtId="169" formatCode="_-&quot;$&quot;* #,##0_-;\-&quot;$&quot;* #,##0_-;_-&quot;$&quot;* &quot;-&quot;??_-;_-@_-"/>
    <numFmt numFmtId="170" formatCode="#,##0_ ;\-#,##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rgb="FF000000"/>
      <name val="Tahoma"/>
      <family val="2"/>
    </font>
    <font>
      <b/>
      <sz val="10"/>
      <name val="Arial"/>
      <family val="2"/>
    </font>
    <font>
      <b/>
      <sz val="11"/>
      <color rgb="FF000000"/>
      <name val="Arial Narrow"/>
      <family val="2"/>
    </font>
    <font>
      <sz val="11"/>
      <color theme="1"/>
      <name val="Arial Narrow"/>
      <family val="2"/>
    </font>
    <font>
      <sz val="11"/>
      <color rgb="FF1F497D"/>
      <name val="Calibri"/>
      <family val="2"/>
      <scheme val="minor"/>
    </font>
    <font>
      <sz val="11"/>
      <color rgb="FF1F497D"/>
      <name val="Calibri"/>
      <family val="2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b/>
      <sz val="9"/>
      <color rgb="FF000000"/>
      <name val="Arial Narrow"/>
      <family val="2"/>
    </font>
    <font>
      <sz val="9"/>
      <color rgb="FF000000"/>
      <name val="Arial Narrow"/>
      <family val="2"/>
    </font>
    <font>
      <b/>
      <sz val="9"/>
      <color theme="1"/>
      <name val="Arial Narrow"/>
      <family val="2"/>
    </font>
    <font>
      <b/>
      <sz val="9"/>
      <color rgb="FFFFFFFF"/>
      <name val="Arial Narrow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0000"/>
        <bgColor indexed="64"/>
      </patternFill>
    </fill>
  </fills>
  <borders count="6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1">
    <xf numFmtId="0" fontId="0" fillId="0" borderId="0"/>
    <xf numFmtId="0" fontId="2" fillId="0" borderId="0"/>
    <xf numFmtId="0" fontId="1" fillId="0" borderId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417">
    <xf numFmtId="0" fontId="0" fillId="0" borderId="0" xfId="0"/>
    <xf numFmtId="0" fontId="2" fillId="0" borderId="1" xfId="1" applyFont="1" applyFill="1" applyBorder="1"/>
    <xf numFmtId="0" fontId="0" fillId="0" borderId="1" xfId="0" applyFont="1" applyFill="1" applyBorder="1"/>
    <xf numFmtId="0" fontId="0" fillId="0" borderId="0" xfId="0" applyFont="1"/>
    <xf numFmtId="0" fontId="0" fillId="0" borderId="1" xfId="0" applyFont="1" applyBorder="1"/>
    <xf numFmtId="0" fontId="5" fillId="0" borderId="1" xfId="0" applyFont="1" applyBorder="1"/>
    <xf numFmtId="164" fontId="0" fillId="0" borderId="0" xfId="0" applyNumberFormat="1" applyFont="1"/>
    <xf numFmtId="165" fontId="0" fillId="0" borderId="0" xfId="0" applyNumberFormat="1" applyFont="1"/>
    <xf numFmtId="0" fontId="0" fillId="0" borderId="0" xfId="0" applyFont="1" applyBorder="1"/>
    <xf numFmtId="165" fontId="0" fillId="0" borderId="1" xfId="0" applyNumberFormat="1" applyFont="1" applyBorder="1"/>
    <xf numFmtId="44" fontId="0" fillId="0" borderId="0" xfId="4" applyFont="1"/>
    <xf numFmtId="44" fontId="0" fillId="0" borderId="1" xfId="4" applyFont="1" applyBorder="1"/>
    <xf numFmtId="44" fontId="0" fillId="0" borderId="0" xfId="0" applyNumberFormat="1" applyFont="1"/>
    <xf numFmtId="164" fontId="0" fillId="0" borderId="1" xfId="0" applyNumberFormat="1" applyBorder="1"/>
    <xf numFmtId="164" fontId="0" fillId="4" borderId="0" xfId="0" applyNumberFormat="1" applyFont="1" applyFill="1"/>
    <xf numFmtId="0" fontId="4" fillId="2" borderId="2" xfId="0" applyFont="1" applyFill="1" applyBorder="1" applyAlignment="1">
      <alignment horizontal="center"/>
    </xf>
    <xf numFmtId="0" fontId="2" fillId="0" borderId="3" xfId="1" applyFont="1" applyFill="1" applyBorder="1"/>
    <xf numFmtId="0" fontId="2" fillId="0" borderId="4" xfId="1" applyFont="1" applyFill="1" applyBorder="1"/>
    <xf numFmtId="165" fontId="0" fillId="0" borderId="4" xfId="0" applyNumberFormat="1" applyFont="1" applyBorder="1"/>
    <xf numFmtId="165" fontId="0" fillId="0" borderId="5" xfId="0" applyNumberFormat="1" applyFont="1" applyBorder="1"/>
    <xf numFmtId="0" fontId="2" fillId="0" borderId="6" xfId="1" applyFont="1" applyFill="1" applyBorder="1"/>
    <xf numFmtId="165" fontId="0" fillId="0" borderId="7" xfId="0" applyNumberFormat="1" applyFont="1" applyBorder="1"/>
    <xf numFmtId="0" fontId="2" fillId="0" borderId="8" xfId="1" applyFont="1" applyFill="1" applyBorder="1"/>
    <xf numFmtId="0" fontId="2" fillId="0" borderId="9" xfId="1" applyFont="1" applyFill="1" applyBorder="1"/>
    <xf numFmtId="165" fontId="0" fillId="0" borderId="9" xfId="0" applyNumberFormat="1" applyFont="1" applyBorder="1"/>
    <xf numFmtId="165" fontId="0" fillId="0" borderId="10" xfId="0" applyNumberFormat="1" applyFont="1" applyBorder="1"/>
    <xf numFmtId="0" fontId="0" fillId="0" borderId="11" xfId="0" applyFont="1" applyFill="1" applyBorder="1"/>
    <xf numFmtId="0" fontId="0" fillId="0" borderId="12" xfId="0" applyFont="1" applyFill="1" applyBorder="1"/>
    <xf numFmtId="0" fontId="2" fillId="0" borderId="12" xfId="1" applyFont="1" applyFill="1" applyBorder="1"/>
    <xf numFmtId="166" fontId="0" fillId="4" borderId="12" xfId="0" applyNumberFormat="1" applyFont="1" applyFill="1" applyBorder="1"/>
    <xf numFmtId="165" fontId="0" fillId="0" borderId="13" xfId="0" applyNumberFormat="1" applyFont="1" applyBorder="1"/>
    <xf numFmtId="166" fontId="0" fillId="4" borderId="4" xfId="0" applyNumberFormat="1" applyFont="1" applyFill="1" applyBorder="1"/>
    <xf numFmtId="166" fontId="0" fillId="4" borderId="9" xfId="0" applyNumberFormat="1" applyFont="1" applyFill="1" applyBorder="1"/>
    <xf numFmtId="0" fontId="0" fillId="0" borderId="3" xfId="0" applyFont="1" applyFill="1" applyBorder="1"/>
    <xf numFmtId="0" fontId="0" fillId="0" borderId="4" xfId="0" applyFont="1" applyFill="1" applyBorder="1"/>
    <xf numFmtId="164" fontId="0" fillId="0" borderId="4" xfId="0" applyNumberFormat="1" applyFont="1" applyBorder="1"/>
    <xf numFmtId="164" fontId="0" fillId="0" borderId="5" xfId="0" applyNumberFormat="1" applyFont="1" applyBorder="1"/>
    <xf numFmtId="0" fontId="0" fillId="0" borderId="8" xfId="0" applyFont="1" applyFill="1" applyBorder="1"/>
    <xf numFmtId="0" fontId="0" fillId="0" borderId="9" xfId="0" applyFont="1" applyFill="1" applyBorder="1"/>
    <xf numFmtId="164" fontId="0" fillId="0" borderId="9" xfId="0" applyNumberFormat="1" applyFont="1" applyBorder="1"/>
    <xf numFmtId="164" fontId="0" fillId="0" borderId="10" xfId="0" applyNumberFormat="1" applyFont="1" applyBorder="1"/>
    <xf numFmtId="0" fontId="0" fillId="0" borderId="4" xfId="0" applyFont="1" applyBorder="1"/>
    <xf numFmtId="0" fontId="0" fillId="0" borderId="6" xfId="0" applyFont="1" applyFill="1" applyBorder="1"/>
    <xf numFmtId="164" fontId="0" fillId="0" borderId="7" xfId="0" applyNumberFormat="1" applyFont="1" applyBorder="1"/>
    <xf numFmtId="0" fontId="0" fillId="0" borderId="9" xfId="0" applyFont="1" applyBorder="1"/>
    <xf numFmtId="44" fontId="0" fillId="0" borderId="9" xfId="4" applyFont="1" applyBorder="1"/>
    <xf numFmtId="44" fontId="0" fillId="0" borderId="4" xfId="4" applyFont="1" applyBorder="1"/>
    <xf numFmtId="44" fontId="0" fillId="0" borderId="5" xfId="4" applyFont="1" applyBorder="1"/>
    <xf numFmtId="44" fontId="0" fillId="0" borderId="7" xfId="4" applyFont="1" applyBorder="1"/>
    <xf numFmtId="44" fontId="0" fillId="0" borderId="10" xfId="4" applyFont="1" applyBorder="1"/>
    <xf numFmtId="0" fontId="4" fillId="2" borderId="2" xfId="0" applyFont="1" applyFill="1" applyBorder="1" applyAlignment="1">
      <alignment horizontal="center" wrapText="1"/>
    </xf>
    <xf numFmtId="0" fontId="2" fillId="5" borderId="3" xfId="1" applyFont="1" applyFill="1" applyBorder="1"/>
    <xf numFmtId="0" fontId="2" fillId="5" borderId="4" xfId="1" applyFont="1" applyFill="1" applyBorder="1"/>
    <xf numFmtId="0" fontId="0" fillId="5" borderId="4" xfId="0" applyFont="1" applyFill="1" applyBorder="1"/>
    <xf numFmtId="44" fontId="0" fillId="5" borderId="4" xfId="4" applyFont="1" applyFill="1" applyBorder="1"/>
    <xf numFmtId="44" fontId="0" fillId="5" borderId="5" xfId="4" applyFont="1" applyFill="1" applyBorder="1"/>
    <xf numFmtId="0" fontId="2" fillId="5" borderId="6" xfId="1" applyFont="1" applyFill="1" applyBorder="1"/>
    <xf numFmtId="0" fontId="2" fillId="5" borderId="1" xfId="1" applyFont="1" applyFill="1" applyBorder="1"/>
    <xf numFmtId="0" fontId="0" fillId="5" borderId="1" xfId="0" applyFont="1" applyFill="1" applyBorder="1"/>
    <xf numFmtId="44" fontId="0" fillId="5" borderId="1" xfId="4" applyFont="1" applyFill="1" applyBorder="1"/>
    <xf numFmtId="44" fontId="0" fillId="5" borderId="7" xfId="4" applyFont="1" applyFill="1" applyBorder="1"/>
    <xf numFmtId="0" fontId="2" fillId="5" borderId="8" xfId="1" applyFont="1" applyFill="1" applyBorder="1"/>
    <xf numFmtId="0" fontId="2" fillId="5" borderId="9" xfId="1" applyFont="1" applyFill="1" applyBorder="1"/>
    <xf numFmtId="0" fontId="0" fillId="5" borderId="9" xfId="0" applyFont="1" applyFill="1" applyBorder="1"/>
    <xf numFmtId="44" fontId="0" fillId="5" borderId="9" xfId="4" applyFont="1" applyFill="1" applyBorder="1"/>
    <xf numFmtId="44" fontId="0" fillId="5" borderId="10" xfId="4" applyFont="1" applyFill="1" applyBorder="1"/>
    <xf numFmtId="0" fontId="4" fillId="2" borderId="2" xfId="0" applyFont="1" applyFill="1" applyBorder="1" applyAlignment="1">
      <alignment horizontal="center" vertical="center"/>
    </xf>
    <xf numFmtId="0" fontId="0" fillId="0" borderId="14" xfId="0" applyFont="1" applyBorder="1" applyAlignment="1">
      <alignment horizontal="center"/>
    </xf>
    <xf numFmtId="165" fontId="0" fillId="3" borderId="15" xfId="0" applyNumberFormat="1" applyFont="1" applyFill="1" applyBorder="1"/>
    <xf numFmtId="0" fontId="0" fillId="0" borderId="0" xfId="0" applyBorder="1"/>
    <xf numFmtId="0" fontId="4" fillId="0" borderId="1" xfId="0" applyFont="1" applyBorder="1" applyAlignment="1">
      <alignment horizontal="center"/>
    </xf>
    <xf numFmtId="0" fontId="0" fillId="0" borderId="1" xfId="0" applyBorder="1"/>
    <xf numFmtId="167" fontId="0" fillId="0" borderId="1" xfId="0" applyNumberFormat="1" applyBorder="1"/>
    <xf numFmtId="0" fontId="0" fillId="0" borderId="0" xfId="0" applyAlignment="1">
      <alignment horizontal="center"/>
    </xf>
    <xf numFmtId="0" fontId="0" fillId="5" borderId="0" xfId="0" applyFont="1" applyFill="1" applyBorder="1"/>
    <xf numFmtId="44" fontId="0" fillId="5" borderId="0" xfId="4" applyFont="1" applyFill="1" applyBorder="1"/>
    <xf numFmtId="0" fontId="0" fillId="0" borderId="1" xfId="0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2" fillId="0" borderId="23" xfId="1" applyFont="1" applyFill="1" applyBorder="1"/>
    <xf numFmtId="0" fontId="2" fillId="0" borderId="23" xfId="1" applyFont="1" applyFill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left"/>
    </xf>
    <xf numFmtId="0" fontId="2" fillId="0" borderId="28" xfId="1" applyFont="1" applyFill="1" applyBorder="1"/>
    <xf numFmtId="44" fontId="0" fillId="0" borderId="29" xfId="4" applyFont="1" applyBorder="1"/>
    <xf numFmtId="0" fontId="0" fillId="0" borderId="6" xfId="0" applyBorder="1"/>
    <xf numFmtId="0" fontId="0" fillId="0" borderId="30" xfId="0" applyBorder="1"/>
    <xf numFmtId="0" fontId="0" fillId="0" borderId="9" xfId="0" applyBorder="1"/>
    <xf numFmtId="44" fontId="0" fillId="5" borderId="19" xfId="4" applyFont="1" applyFill="1" applyBorder="1"/>
    <xf numFmtId="0" fontId="2" fillId="5" borderId="0" xfId="1" applyFont="1" applyFill="1" applyBorder="1"/>
    <xf numFmtId="0" fontId="7" fillId="4" borderId="1" xfId="0" applyFont="1" applyFill="1" applyBorder="1" applyAlignment="1">
      <alignment horizontal="left" vertical="top" indent="1"/>
    </xf>
    <xf numFmtId="168" fontId="8" fillId="0" borderId="1" xfId="4" applyNumberFormat="1" applyFont="1" applyBorder="1" applyAlignment="1">
      <alignment horizontal="right" vertical="top" wrapText="1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pivotButton="1"/>
    <xf numFmtId="168" fontId="0" fillId="0" borderId="1" xfId="0" applyNumberFormat="1" applyBorder="1"/>
    <xf numFmtId="0" fontId="4" fillId="0" borderId="1" xfId="0" applyFont="1" applyBorder="1"/>
    <xf numFmtId="0" fontId="4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vertical="center" wrapText="1"/>
    </xf>
    <xf numFmtId="168" fontId="0" fillId="0" borderId="1" xfId="0" applyNumberFormat="1" applyFont="1" applyBorder="1"/>
    <xf numFmtId="0" fontId="4" fillId="0" borderId="1" xfId="0" applyFont="1" applyFill="1" applyBorder="1" applyAlignment="1">
      <alignment horizontal="left" indent="1"/>
    </xf>
    <xf numFmtId="0" fontId="0" fillId="0" borderId="1" xfId="0" applyFont="1" applyFill="1" applyBorder="1" applyAlignment="1">
      <alignment horizontal="left" indent="1"/>
    </xf>
    <xf numFmtId="168" fontId="0" fillId="0" borderId="1" xfId="4" applyNumberFormat="1" applyFont="1" applyBorder="1"/>
    <xf numFmtId="0" fontId="4" fillId="0" borderId="1" xfId="0" applyFont="1" applyFill="1" applyBorder="1" applyAlignment="1">
      <alignment horizontal="left"/>
    </xf>
    <xf numFmtId="0" fontId="4" fillId="0" borderId="31" xfId="0" applyFont="1" applyFill="1" applyBorder="1" applyAlignment="1">
      <alignment horizontal="center" vertical="top"/>
    </xf>
    <xf numFmtId="0" fontId="4" fillId="0" borderId="31" xfId="0" applyFont="1" applyBorder="1" applyAlignment="1">
      <alignment horizontal="center" vertical="top"/>
    </xf>
    <xf numFmtId="168" fontId="0" fillId="6" borderId="1" xfId="0" applyNumberFormat="1" applyFill="1" applyBorder="1"/>
    <xf numFmtId="168" fontId="0" fillId="6" borderId="1" xfId="0" applyNumberFormat="1" applyFont="1" applyFill="1" applyBorder="1"/>
    <xf numFmtId="0" fontId="8" fillId="0" borderId="0" xfId="0" applyFont="1" applyBorder="1" applyAlignment="1">
      <alignment vertical="center" wrapText="1"/>
    </xf>
    <xf numFmtId="168" fontId="0" fillId="6" borderId="0" xfId="0" applyNumberFormat="1" applyFont="1" applyFill="1" applyBorder="1"/>
    <xf numFmtId="168" fontId="0" fillId="0" borderId="0" xfId="0" applyNumberFormat="1" applyFont="1" applyBorder="1"/>
    <xf numFmtId="168" fontId="0" fillId="6" borderId="0" xfId="0" applyNumberFormat="1" applyFill="1" applyBorder="1"/>
    <xf numFmtId="168" fontId="0" fillId="3" borderId="1" xfId="0" applyNumberFormat="1" applyFill="1" applyBorder="1"/>
    <xf numFmtId="0" fontId="9" fillId="0" borderId="0" xfId="0" applyFont="1" applyAlignment="1">
      <alignment vertical="center"/>
    </xf>
    <xf numFmtId="0" fontId="10" fillId="0" borderId="32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0" fontId="10" fillId="0" borderId="33" xfId="0" applyFont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6" fontId="10" fillId="0" borderId="22" xfId="0" applyNumberFormat="1" applyFont="1" applyBorder="1" applyAlignment="1">
      <alignment vertical="center" wrapText="1"/>
    </xf>
    <xf numFmtId="0" fontId="10" fillId="0" borderId="19" xfId="0" applyFont="1" applyBorder="1" applyAlignment="1">
      <alignment vertical="center" wrapText="1"/>
    </xf>
    <xf numFmtId="3" fontId="0" fillId="0" borderId="0" xfId="0" applyNumberFormat="1"/>
    <xf numFmtId="0" fontId="0" fillId="7" borderId="1" xfId="0" applyFill="1" applyBorder="1"/>
    <xf numFmtId="0" fontId="4" fillId="7" borderId="1" xfId="0" applyFont="1" applyFill="1" applyBorder="1"/>
    <xf numFmtId="0" fontId="4" fillId="7" borderId="1" xfId="0" applyFont="1" applyFill="1" applyBorder="1" applyAlignment="1">
      <alignment horizontal="center"/>
    </xf>
    <xf numFmtId="169" fontId="0" fillId="0" borderId="1" xfId="0" applyNumberFormat="1" applyBorder="1"/>
    <xf numFmtId="169" fontId="0" fillId="0" borderId="1" xfId="4" applyNumberFormat="1" applyFont="1" applyFill="1" applyBorder="1"/>
    <xf numFmtId="169" fontId="0" fillId="0" borderId="1" xfId="4" applyNumberFormat="1" applyFont="1" applyBorder="1"/>
    <xf numFmtId="169" fontId="0" fillId="0" borderId="1" xfId="4" applyNumberFormat="1" applyFont="1" applyBorder="1" applyAlignment="1">
      <alignment horizontal="left"/>
    </xf>
    <xf numFmtId="43" fontId="0" fillId="0" borderId="0" xfId="5" applyFont="1"/>
    <xf numFmtId="169" fontId="0" fillId="0" borderId="0" xfId="4" applyNumberFormat="1" applyFont="1" applyBorder="1"/>
    <xf numFmtId="169" fontId="0" fillId="0" borderId="1" xfId="0" applyNumberFormat="1" applyFill="1" applyBorder="1"/>
    <xf numFmtId="0" fontId="12" fillId="0" borderId="0" xfId="0" applyFont="1" applyAlignment="1">
      <alignment vertical="center"/>
    </xf>
    <xf numFmtId="0" fontId="0" fillId="10" borderId="1" xfId="0" applyFill="1" applyBorder="1"/>
    <xf numFmtId="42" fontId="11" fillId="9" borderId="1" xfId="8" applyNumberFormat="1" applyBorder="1"/>
    <xf numFmtId="42" fontId="11" fillId="8" borderId="1" xfId="7" applyNumberFormat="1" applyBorder="1"/>
    <xf numFmtId="0" fontId="0" fillId="0" borderId="1" xfId="0" applyBorder="1" applyAlignment="1">
      <alignment horizontal="center" vertical="center"/>
    </xf>
    <xf numFmtId="42" fontId="0" fillId="0" borderId="37" xfId="6" applyFont="1" applyBorder="1"/>
    <xf numFmtId="0" fontId="0" fillId="0" borderId="23" xfId="0" applyBorder="1" applyAlignment="1">
      <alignment horizontal="center" vertical="center"/>
    </xf>
    <xf numFmtId="0" fontId="0" fillId="10" borderId="31" xfId="0" applyFill="1" applyBorder="1"/>
    <xf numFmtId="0" fontId="0" fillId="0" borderId="1" xfId="0" applyBorder="1" applyAlignment="1">
      <alignment horizontal="center" vertical="center"/>
    </xf>
    <xf numFmtId="0" fontId="0" fillId="0" borderId="1" xfId="0" applyFill="1" applyBorder="1"/>
    <xf numFmtId="42" fontId="0" fillId="0" borderId="1" xfId="6" applyFont="1" applyBorder="1"/>
    <xf numFmtId="42" fontId="0" fillId="0" borderId="0" xfId="0" applyNumberFormat="1"/>
    <xf numFmtId="0" fontId="0" fillId="0" borderId="0" xfId="0" applyAlignment="1">
      <alignment vertical="center"/>
    </xf>
    <xf numFmtId="166" fontId="14" fillId="0" borderId="38" xfId="9" applyNumberFormat="1" applyFont="1" applyFill="1" applyBorder="1" applyAlignment="1" applyProtection="1">
      <alignment vertical="center" wrapText="1"/>
      <protection hidden="1"/>
    </xf>
    <xf numFmtId="42" fontId="0" fillId="0" borderId="1" xfId="0" applyNumberFormat="1" applyBorder="1"/>
    <xf numFmtId="0" fontId="0" fillId="0" borderId="11" xfId="0" applyBorder="1"/>
    <xf numFmtId="167" fontId="0" fillId="0" borderId="13" xfId="0" applyNumberFormat="1" applyBorder="1"/>
    <xf numFmtId="169" fontId="0" fillId="0" borderId="1" xfId="4" applyNumberFormat="1" applyFont="1" applyBorder="1" applyAlignment="1">
      <alignment vertical="top"/>
    </xf>
    <xf numFmtId="169" fontId="0" fillId="0" borderId="1" xfId="0" applyNumberFormat="1" applyBorder="1" applyAlignment="1">
      <alignment vertical="top"/>
    </xf>
    <xf numFmtId="0" fontId="0" fillId="11" borderId="11" xfId="0" applyFill="1" applyBorder="1"/>
    <xf numFmtId="0" fontId="0" fillId="11" borderId="12" xfId="0" applyFill="1" applyBorder="1"/>
    <xf numFmtId="169" fontId="0" fillId="11" borderId="12" xfId="0" applyNumberFormat="1" applyFill="1" applyBorder="1"/>
    <xf numFmtId="169" fontId="0" fillId="11" borderId="13" xfId="0" applyNumberFormat="1" applyFill="1" applyBorder="1"/>
    <xf numFmtId="0" fontId="15" fillId="0" borderId="1" xfId="0" applyFont="1" applyBorder="1" applyAlignment="1">
      <alignment horizontal="right" vertical="center"/>
    </xf>
    <xf numFmtId="0" fontId="15" fillId="0" borderId="6" xfId="0" applyFont="1" applyBorder="1" applyAlignment="1">
      <alignment vertical="center"/>
    </xf>
    <xf numFmtId="42" fontId="0" fillId="0" borderId="7" xfId="0" applyNumberFormat="1" applyBorder="1"/>
    <xf numFmtId="42" fontId="0" fillId="0" borderId="9" xfId="0" applyNumberFormat="1" applyBorder="1"/>
    <xf numFmtId="42" fontId="0" fillId="0" borderId="10" xfId="0" applyNumberFormat="1" applyBorder="1"/>
    <xf numFmtId="0" fontId="16" fillId="0" borderId="3" xfId="0" applyFont="1" applyBorder="1" applyAlignment="1">
      <alignment horizontal="center" vertical="top"/>
    </xf>
    <xf numFmtId="0" fontId="16" fillId="0" borderId="4" xfId="0" applyFont="1" applyBorder="1" applyAlignment="1">
      <alignment horizontal="center" vertical="top"/>
    </xf>
    <xf numFmtId="0" fontId="16" fillId="0" borderId="5" xfId="0" applyFont="1" applyBorder="1" applyAlignment="1">
      <alignment horizontal="center" vertical="top"/>
    </xf>
    <xf numFmtId="0" fontId="16" fillId="0" borderId="8" xfId="0" applyFont="1" applyFill="1" applyBorder="1" applyAlignment="1">
      <alignment vertical="center"/>
    </xf>
    <xf numFmtId="0" fontId="4" fillId="0" borderId="23" xfId="0" applyFont="1" applyBorder="1"/>
    <xf numFmtId="0" fontId="0" fillId="0" borderId="23" xfId="0" applyBorder="1"/>
    <xf numFmtId="0" fontId="0" fillId="0" borderId="23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>
      <alignment horizontal="center"/>
    </xf>
    <xf numFmtId="42" fontId="0" fillId="0" borderId="5" xfId="0" applyNumberFormat="1" applyBorder="1"/>
    <xf numFmtId="0" fontId="4" fillId="0" borderId="0" xfId="0" applyFont="1" applyBorder="1" applyAlignment="1">
      <alignment horizontal="center"/>
    </xf>
    <xf numFmtId="0" fontId="0" fillId="0" borderId="0" xfId="0" applyBorder="1" applyAlignment="1"/>
    <xf numFmtId="0" fontId="0" fillId="4" borderId="39" xfId="0" applyFill="1" applyBorder="1"/>
    <xf numFmtId="0" fontId="0" fillId="4" borderId="31" xfId="0" applyFill="1" applyBorder="1"/>
    <xf numFmtId="0" fontId="0" fillId="4" borderId="31" xfId="0" applyFill="1" applyBorder="1" applyAlignment="1">
      <alignment horizontal="center"/>
    </xf>
    <xf numFmtId="42" fontId="0" fillId="4" borderId="40" xfId="0" applyNumberFormat="1" applyFill="1" applyBorder="1"/>
    <xf numFmtId="0" fontId="0" fillId="4" borderId="0" xfId="0" applyFill="1"/>
    <xf numFmtId="0" fontId="0" fillId="0" borderId="4" xfId="0" applyBorder="1" applyAlignment="1"/>
    <xf numFmtId="6" fontId="0" fillId="0" borderId="7" xfId="4" applyNumberFormat="1" applyFont="1" applyBorder="1"/>
    <xf numFmtId="0" fontId="4" fillId="0" borderId="1" xfId="0" applyFont="1" applyFill="1" applyBorder="1"/>
    <xf numFmtId="3" fontId="4" fillId="0" borderId="1" xfId="0" applyNumberFormat="1" applyFont="1" applyFill="1" applyBorder="1" applyAlignment="1">
      <alignment horizontal="left" vertical="top"/>
    </xf>
    <xf numFmtId="44" fontId="4" fillId="0" borderId="1" xfId="4" applyFont="1" applyFill="1" applyBorder="1"/>
    <xf numFmtId="44" fontId="0" fillId="0" borderId="0" xfId="4" applyFont="1" applyFill="1"/>
    <xf numFmtId="0" fontId="0" fillId="0" borderId="0" xfId="0" applyFill="1"/>
    <xf numFmtId="3" fontId="0" fillId="0" borderId="1" xfId="0" applyNumberFormat="1" applyFill="1" applyBorder="1" applyAlignment="1">
      <alignment horizontal="left" vertical="top"/>
    </xf>
    <xf numFmtId="0" fontId="0" fillId="4" borderId="1" xfId="0" applyFill="1" applyBorder="1"/>
    <xf numFmtId="3" fontId="0" fillId="4" borderId="1" xfId="0" applyNumberFormat="1" applyFill="1" applyBorder="1" applyAlignment="1">
      <alignment horizontal="left" vertical="top"/>
    </xf>
    <xf numFmtId="0" fontId="0" fillId="0" borderId="1" xfId="0" applyFill="1" applyBorder="1" applyAlignment="1">
      <alignment vertical="top"/>
    </xf>
    <xf numFmtId="0" fontId="0" fillId="0" borderId="1" xfId="0" applyFill="1" applyBorder="1" applyAlignment="1">
      <alignment horizontal="left" vertical="top"/>
    </xf>
    <xf numFmtId="0" fontId="0" fillId="0" borderId="0" xfId="0" applyFill="1" applyAlignment="1">
      <alignment horizontal="left" vertical="top"/>
    </xf>
    <xf numFmtId="44" fontId="0" fillId="4" borderId="0" xfId="4" applyFont="1" applyFill="1"/>
    <xf numFmtId="3" fontId="0" fillId="0" borderId="0" xfId="0" applyNumberFormat="1" applyFill="1" applyAlignment="1">
      <alignment horizontal="left" vertical="top"/>
    </xf>
    <xf numFmtId="0" fontId="0" fillId="10" borderId="23" xfId="0" applyFill="1" applyBorder="1"/>
    <xf numFmtId="42" fontId="11" fillId="9" borderId="23" xfId="8" applyNumberFormat="1" applyBorder="1"/>
    <xf numFmtId="42" fontId="11" fillId="8" borderId="23" xfId="7" applyNumberFormat="1" applyBorder="1"/>
    <xf numFmtId="42" fontId="0" fillId="0" borderId="41" xfId="6" applyFont="1" applyBorder="1"/>
    <xf numFmtId="42" fontId="11" fillId="9" borderId="4" xfId="8" applyNumberFormat="1" applyBorder="1"/>
    <xf numFmtId="42" fontId="11" fillId="8" borderId="4" xfId="7" applyNumberFormat="1" applyBorder="1"/>
    <xf numFmtId="0" fontId="0" fillId="0" borderId="4" xfId="0" applyBorder="1" applyAlignment="1">
      <alignment horizontal="center" vertical="center"/>
    </xf>
    <xf numFmtId="42" fontId="0" fillId="0" borderId="42" xfId="6" applyFont="1" applyBorder="1"/>
    <xf numFmtId="42" fontId="0" fillId="0" borderId="44" xfId="6" applyFont="1" applyBorder="1"/>
    <xf numFmtId="42" fontId="11" fillId="9" borderId="9" xfId="8" applyNumberFormat="1" applyBorder="1"/>
    <xf numFmtId="42" fontId="11" fillId="8" borderId="9" xfId="7" applyNumberFormat="1" applyBorder="1"/>
    <xf numFmtId="0" fontId="0" fillId="0" borderId="9" xfId="0" applyBorder="1" applyAlignment="1">
      <alignment horizontal="center" vertical="center"/>
    </xf>
    <xf numFmtId="42" fontId="0" fillId="0" borderId="47" xfId="6" applyFont="1" applyBorder="1"/>
    <xf numFmtId="9" fontId="0" fillId="0" borderId="0" xfId="0" applyNumberFormat="1"/>
    <xf numFmtId="0" fontId="0" fillId="12" borderId="1" xfId="0" applyFill="1" applyBorder="1"/>
    <xf numFmtId="0" fontId="0" fillId="12" borderId="4" xfId="0" applyFill="1" applyBorder="1"/>
    <xf numFmtId="0" fontId="0" fillId="12" borderId="46" xfId="0" applyFill="1" applyBorder="1"/>
    <xf numFmtId="3" fontId="0" fillId="0" borderId="23" xfId="0" applyNumberFormat="1" applyBorder="1"/>
    <xf numFmtId="3" fontId="0" fillId="0" borderId="1" xfId="0" applyNumberFormat="1" applyBorder="1"/>
    <xf numFmtId="3" fontId="4" fillId="0" borderId="1" xfId="0" applyNumberFormat="1" applyFont="1" applyBorder="1"/>
    <xf numFmtId="166" fontId="14" fillId="0" borderId="49" xfId="9" applyNumberFormat="1" applyFont="1" applyFill="1" applyBorder="1" applyAlignment="1" applyProtection="1">
      <alignment vertical="center" wrapText="1"/>
      <protection hidden="1"/>
    </xf>
    <xf numFmtId="0" fontId="0" fillId="6" borderId="1" xfId="0" applyFill="1" applyBorder="1"/>
    <xf numFmtId="0" fontId="0" fillId="3" borderId="1" xfId="0" applyFill="1" applyBorder="1"/>
    <xf numFmtId="0" fontId="0" fillId="0" borderId="7" xfId="0" applyBorder="1"/>
    <xf numFmtId="0" fontId="0" fillId="3" borderId="6" xfId="0" applyFill="1" applyBorder="1"/>
    <xf numFmtId="0" fontId="0" fillId="3" borderId="7" xfId="0" applyFill="1" applyBorder="1"/>
    <xf numFmtId="0" fontId="0" fillId="0" borderId="10" xfId="0" applyBorder="1"/>
    <xf numFmtId="0" fontId="0" fillId="0" borderId="28" xfId="0" applyBorder="1"/>
    <xf numFmtId="0" fontId="0" fillId="0" borderId="29" xfId="0" applyBorder="1"/>
    <xf numFmtId="0" fontId="0" fillId="0" borderId="12" xfId="0" applyBorder="1"/>
    <xf numFmtId="0" fontId="0" fillId="0" borderId="13" xfId="0" applyBorder="1"/>
    <xf numFmtId="0" fontId="4" fillId="0" borderId="8" xfId="0" applyFont="1" applyBorder="1"/>
    <xf numFmtId="0" fontId="4" fillId="0" borderId="9" xfId="0" applyFont="1" applyBorder="1"/>
    <xf numFmtId="0" fontId="4" fillId="6" borderId="12" xfId="0" applyFont="1" applyFill="1" applyBorder="1"/>
    <xf numFmtId="0" fontId="0" fillId="0" borderId="50" xfId="0" applyBorder="1"/>
    <xf numFmtId="0" fontId="0" fillId="0" borderId="51" xfId="0" applyBorder="1"/>
    <xf numFmtId="0" fontId="4" fillId="0" borderId="28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0" fillId="10" borderId="2" xfId="0" applyFill="1" applyBorder="1"/>
    <xf numFmtId="0" fontId="0" fillId="0" borderId="52" xfId="0" applyBorder="1"/>
    <xf numFmtId="42" fontId="0" fillId="6" borderId="1" xfId="0" applyNumberFormat="1" applyFill="1" applyBorder="1"/>
    <xf numFmtId="42" fontId="0" fillId="6" borderId="13" xfId="0" applyNumberFormat="1" applyFill="1" applyBorder="1"/>
    <xf numFmtId="0" fontId="0" fillId="6" borderId="11" xfId="0" applyFill="1" applyBorder="1"/>
    <xf numFmtId="0" fontId="0" fillId="6" borderId="32" xfId="0" applyFill="1" applyBorder="1"/>
    <xf numFmtId="42" fontId="0" fillId="6" borderId="32" xfId="0" applyNumberFormat="1" applyFill="1" applyBorder="1"/>
    <xf numFmtId="0" fontId="4" fillId="0" borderId="10" xfId="0" applyFont="1" applyBorder="1"/>
    <xf numFmtId="0" fontId="4" fillId="0" borderId="40" xfId="0" applyFont="1" applyFill="1" applyBorder="1"/>
    <xf numFmtId="0" fontId="4" fillId="0" borderId="50" xfId="0" applyFont="1" applyBorder="1"/>
    <xf numFmtId="0" fontId="4" fillId="0" borderId="29" xfId="0" applyFont="1" applyFill="1" applyBorder="1"/>
    <xf numFmtId="0" fontId="4" fillId="0" borderId="54" xfId="0" applyFont="1" applyBorder="1"/>
    <xf numFmtId="42" fontId="0" fillId="4" borderId="7" xfId="0" applyNumberFormat="1" applyFill="1" applyBorder="1"/>
    <xf numFmtId="42" fontId="0" fillId="4" borderId="53" xfId="0" applyNumberFormat="1" applyFill="1" applyBorder="1"/>
    <xf numFmtId="44" fontId="4" fillId="11" borderId="13" xfId="4" applyFont="1" applyFill="1" applyBorder="1"/>
    <xf numFmtId="44" fontId="0" fillId="5" borderId="53" xfId="4" applyFont="1" applyFill="1" applyBorder="1"/>
    <xf numFmtId="6" fontId="0" fillId="0" borderId="53" xfId="4" applyNumberFormat="1" applyFont="1" applyBorder="1"/>
    <xf numFmtId="0" fontId="0" fillId="0" borderId="25" xfId="0" applyBorder="1"/>
    <xf numFmtId="42" fontId="0" fillId="0" borderId="53" xfId="0" applyNumberFormat="1" applyBorder="1"/>
    <xf numFmtId="0" fontId="4" fillId="11" borderId="11" xfId="0" applyFont="1" applyFill="1" applyBorder="1"/>
    <xf numFmtId="0" fontId="4" fillId="11" borderId="12" xfId="0" applyFont="1" applyFill="1" applyBorder="1"/>
    <xf numFmtId="0" fontId="4" fillId="11" borderId="12" xfId="0" applyFont="1" applyFill="1" applyBorder="1" applyAlignment="1">
      <alignment horizontal="center"/>
    </xf>
    <xf numFmtId="42" fontId="4" fillId="11" borderId="13" xfId="0" applyNumberFormat="1" applyFont="1" applyFill="1" applyBorder="1"/>
    <xf numFmtId="0" fontId="0" fillId="0" borderId="2" xfId="0" applyBorder="1" applyAlignment="1"/>
    <xf numFmtId="42" fontId="0" fillId="0" borderId="27" xfId="0" applyNumberFormat="1" applyBorder="1"/>
    <xf numFmtId="169" fontId="4" fillId="3" borderId="13" xfId="0" applyNumberFormat="1" applyFont="1" applyFill="1" applyBorder="1"/>
    <xf numFmtId="0" fontId="4" fillId="0" borderId="12" xfId="0" applyFont="1" applyBorder="1" applyAlignment="1">
      <alignment horizontal="center"/>
    </xf>
    <xf numFmtId="0" fontId="0" fillId="6" borderId="34" xfId="0" applyFill="1" applyBorder="1"/>
    <xf numFmtId="42" fontId="0" fillId="6" borderId="34" xfId="0" applyNumberFormat="1" applyFill="1" applyBorder="1"/>
    <xf numFmtId="169" fontId="0" fillId="5" borderId="7" xfId="4" applyNumberFormat="1" applyFont="1" applyFill="1" applyBorder="1"/>
    <xf numFmtId="0" fontId="2" fillId="0" borderId="30" xfId="1" applyFont="1" applyFill="1" applyBorder="1"/>
    <xf numFmtId="0" fontId="2" fillId="0" borderId="2" xfId="1" applyFont="1" applyFill="1" applyBorder="1"/>
    <xf numFmtId="0" fontId="0" fillId="0" borderId="2" xfId="0" applyFont="1" applyBorder="1"/>
    <xf numFmtId="44" fontId="0" fillId="0" borderId="2" xfId="4" applyFont="1" applyBorder="1"/>
    <xf numFmtId="164" fontId="0" fillId="0" borderId="53" xfId="0" applyNumberFormat="1" applyFont="1" applyBorder="1"/>
    <xf numFmtId="0" fontId="0" fillId="0" borderId="28" xfId="0" applyFont="1" applyFill="1" applyBorder="1"/>
    <xf numFmtId="0" fontId="0" fillId="0" borderId="23" xfId="0" applyFont="1" applyFill="1" applyBorder="1"/>
    <xf numFmtId="0" fontId="5" fillId="0" borderId="23" xfId="0" applyFont="1" applyBorder="1"/>
    <xf numFmtId="0" fontId="0" fillId="0" borderId="23" xfId="0" applyFont="1" applyBorder="1"/>
    <xf numFmtId="44" fontId="0" fillId="0" borderId="23" xfId="4" applyFont="1" applyBorder="1"/>
    <xf numFmtId="0" fontId="2" fillId="4" borderId="6" xfId="1" applyFont="1" applyFill="1" applyBorder="1"/>
    <xf numFmtId="0" fontId="2" fillId="4" borderId="1" xfId="1" applyFont="1" applyFill="1" applyBorder="1"/>
    <xf numFmtId="0" fontId="2" fillId="4" borderId="1" xfId="1" applyFont="1" applyFill="1" applyBorder="1" applyAlignment="1">
      <alignment horizontal="center"/>
    </xf>
    <xf numFmtId="44" fontId="2" fillId="4" borderId="7" xfId="4" applyFont="1" applyFill="1" applyBorder="1"/>
    <xf numFmtId="0" fontId="0" fillId="4" borderId="0" xfId="0" applyFont="1" applyFill="1" applyBorder="1"/>
    <xf numFmtId="44" fontId="0" fillId="4" borderId="0" xfId="4" applyFont="1" applyFill="1" applyBorder="1"/>
    <xf numFmtId="169" fontId="0" fillId="0" borderId="29" xfId="4" applyNumberFormat="1" applyFont="1" applyBorder="1"/>
    <xf numFmtId="168" fontId="1" fillId="0" borderId="1" xfId="4" applyNumberFormat="1" applyFont="1" applyBorder="1"/>
    <xf numFmtId="0" fontId="0" fillId="12" borderId="3" xfId="0" applyFill="1" applyBorder="1"/>
    <xf numFmtId="0" fontId="0" fillId="12" borderId="6" xfId="0" applyFill="1" applyBorder="1"/>
    <xf numFmtId="42" fontId="0" fillId="12" borderId="7" xfId="0" applyNumberFormat="1" applyFill="1" applyBorder="1"/>
    <xf numFmtId="0" fontId="0" fillId="12" borderId="8" xfId="0" applyFill="1" applyBorder="1"/>
    <xf numFmtId="42" fontId="0" fillId="12" borderId="10" xfId="0" applyNumberFormat="1" applyFill="1" applyBorder="1"/>
    <xf numFmtId="42" fontId="0" fillId="12" borderId="55" xfId="0" applyNumberFormat="1" applyFill="1" applyBorder="1"/>
    <xf numFmtId="42" fontId="0" fillId="12" borderId="35" xfId="0" applyNumberFormat="1" applyFill="1" applyBorder="1"/>
    <xf numFmtId="0" fontId="4" fillId="12" borderId="56" xfId="0" applyFont="1" applyFill="1" applyBorder="1"/>
    <xf numFmtId="0" fontId="0" fillId="12" borderId="57" xfId="0" applyFill="1" applyBorder="1"/>
    <xf numFmtId="0" fontId="0" fillId="12" borderId="58" xfId="0" applyFill="1" applyBorder="1"/>
    <xf numFmtId="6" fontId="0" fillId="0" borderId="0" xfId="0" applyNumberFormat="1"/>
    <xf numFmtId="169" fontId="0" fillId="5" borderId="0" xfId="4" applyNumberFormat="1" applyFont="1" applyFill="1" applyBorder="1"/>
    <xf numFmtId="0" fontId="0" fillId="0" borderId="0" xfId="0" applyAlignment="1">
      <alignment horizontal="center" vertical="center"/>
    </xf>
    <xf numFmtId="0" fontId="0" fillId="0" borderId="14" xfId="0" applyBorder="1"/>
    <xf numFmtId="169" fontId="0" fillId="0" borderId="32" xfId="4" applyNumberFormat="1" applyFont="1" applyBorder="1"/>
    <xf numFmtId="0" fontId="0" fillId="0" borderId="20" xfId="0" applyBorder="1"/>
    <xf numFmtId="10" fontId="0" fillId="0" borderId="33" xfId="10" applyNumberFormat="1" applyFont="1" applyBorder="1"/>
    <xf numFmtId="0" fontId="0" fillId="0" borderId="32" xfId="0" applyFont="1" applyBorder="1"/>
    <xf numFmtId="49" fontId="0" fillId="0" borderId="32" xfId="10" applyNumberFormat="1" applyFont="1" applyBorder="1" applyAlignment="1">
      <alignment horizontal="center"/>
    </xf>
    <xf numFmtId="49" fontId="0" fillId="0" borderId="32" xfId="0" applyNumberFormat="1" applyBorder="1" applyAlignment="1">
      <alignment horizontal="center"/>
    </xf>
    <xf numFmtId="169" fontId="0" fillId="0" borderId="0" xfId="4" applyNumberFormat="1" applyFont="1"/>
    <xf numFmtId="0" fontId="17" fillId="13" borderId="20" xfId="0" applyFont="1" applyFill="1" applyBorder="1" applyAlignment="1">
      <alignment horizontal="center" vertical="center" wrapText="1"/>
    </xf>
    <xf numFmtId="0" fontId="17" fillId="14" borderId="59" xfId="0" applyFont="1" applyFill="1" applyBorder="1" applyAlignment="1">
      <alignment horizontal="center" vertical="center" wrapText="1"/>
    </xf>
    <xf numFmtId="0" fontId="17" fillId="14" borderId="19" xfId="0" applyFont="1" applyFill="1" applyBorder="1" applyAlignment="1">
      <alignment horizontal="center" vertical="center" wrapText="1"/>
    </xf>
    <xf numFmtId="169" fontId="17" fillId="14" borderId="22" xfId="4" applyNumberFormat="1" applyFont="1" applyFill="1" applyBorder="1" applyAlignment="1">
      <alignment horizontal="center" vertical="center" wrapText="1"/>
    </xf>
    <xf numFmtId="169" fontId="17" fillId="14" borderId="32" xfId="4" applyNumberFormat="1" applyFont="1" applyFill="1" applyBorder="1" applyAlignment="1">
      <alignment horizontal="center" vertical="center" wrapText="1"/>
    </xf>
    <xf numFmtId="169" fontId="12" fillId="15" borderId="22" xfId="4" applyNumberFormat="1" applyFont="1" applyFill="1" applyBorder="1" applyAlignment="1">
      <alignment horizontal="center" vertical="center" wrapText="1"/>
    </xf>
    <xf numFmtId="42" fontId="12" fillId="15" borderId="22" xfId="6" applyFont="1" applyFill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justify" vertical="center" wrapText="1"/>
    </xf>
    <xf numFmtId="169" fontId="12" fillId="0" borderId="22" xfId="4" applyNumberFormat="1" applyFont="1" applyBorder="1" applyAlignment="1">
      <alignment horizontal="center" vertical="center" wrapText="1"/>
    </xf>
    <xf numFmtId="170" fontId="12" fillId="0" borderId="22" xfId="6" applyNumberFormat="1" applyFont="1" applyBorder="1" applyAlignment="1">
      <alignment horizontal="center" vertical="center" wrapText="1"/>
    </xf>
    <xf numFmtId="169" fontId="0" fillId="0" borderId="0" xfId="0" applyNumberFormat="1"/>
    <xf numFmtId="0" fontId="12" fillId="0" borderId="34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justify" vertical="center" wrapText="1"/>
    </xf>
    <xf numFmtId="169" fontId="12" fillId="0" borderId="34" xfId="4" applyNumberFormat="1" applyFont="1" applyBorder="1" applyAlignment="1">
      <alignment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justify" vertical="center" wrapText="1"/>
    </xf>
    <xf numFmtId="169" fontId="12" fillId="0" borderId="32" xfId="4" applyNumberFormat="1" applyFont="1" applyBorder="1" applyAlignment="1">
      <alignment vertical="center" wrapText="1"/>
    </xf>
    <xf numFmtId="169" fontId="12" fillId="0" borderId="15" xfId="4" applyNumberFormat="1" applyFont="1" applyBorder="1" applyAlignment="1">
      <alignment horizontal="center" vertical="center" wrapText="1"/>
    </xf>
    <xf numFmtId="170" fontId="12" fillId="0" borderId="15" xfId="6" applyNumberFormat="1" applyFont="1" applyBorder="1" applyAlignment="1">
      <alignment horizontal="center" vertical="center" wrapText="1"/>
    </xf>
    <xf numFmtId="169" fontId="17" fillId="15" borderId="22" xfId="4" applyNumberFormat="1" applyFont="1" applyFill="1" applyBorder="1" applyAlignment="1">
      <alignment horizontal="center" vertical="center" wrapText="1"/>
    </xf>
    <xf numFmtId="170" fontId="17" fillId="15" borderId="22" xfId="6" applyNumberFormat="1" applyFont="1" applyFill="1" applyBorder="1" applyAlignment="1">
      <alignment horizontal="center" vertical="center" wrapText="1"/>
    </xf>
    <xf numFmtId="169" fontId="12" fillId="11" borderId="22" xfId="4" applyNumberFormat="1" applyFont="1" applyFill="1" applyBorder="1" applyAlignment="1">
      <alignment horizontal="center" vertical="center" wrapText="1"/>
    </xf>
    <xf numFmtId="170" fontId="12" fillId="11" borderId="22" xfId="6" applyNumberFormat="1" applyFont="1" applyFill="1" applyBorder="1" applyAlignment="1">
      <alignment horizontal="center" vertical="center" wrapText="1"/>
    </xf>
    <xf numFmtId="169" fontId="17" fillId="11" borderId="22" xfId="4" applyNumberFormat="1" applyFont="1" applyFill="1" applyBorder="1" applyAlignment="1">
      <alignment horizontal="center" vertical="center" wrapText="1"/>
    </xf>
    <xf numFmtId="170" fontId="17" fillId="11" borderId="22" xfId="6" applyNumberFormat="1" applyFont="1" applyFill="1" applyBorder="1" applyAlignment="1">
      <alignment horizontal="center" vertical="center" wrapText="1"/>
    </xf>
    <xf numFmtId="0" fontId="17" fillId="16" borderId="33" xfId="0" applyFont="1" applyFill="1" applyBorder="1" applyAlignment="1">
      <alignment horizontal="center" vertical="center" wrapText="1"/>
    </xf>
    <xf numFmtId="0" fontId="17" fillId="16" borderId="22" xfId="0" applyFont="1" applyFill="1" applyBorder="1" applyAlignment="1">
      <alignment horizontal="center" vertical="center" wrapText="1"/>
    </xf>
    <xf numFmtId="169" fontId="17" fillId="16" borderId="22" xfId="4" applyNumberFormat="1" applyFont="1" applyFill="1" applyBorder="1" applyAlignment="1">
      <alignment horizontal="center" vertical="center" wrapText="1"/>
    </xf>
    <xf numFmtId="170" fontId="17" fillId="17" borderId="22" xfId="6" applyNumberFormat="1" applyFont="1" applyFill="1" applyBorder="1" applyAlignment="1">
      <alignment horizontal="center" vertical="center" wrapText="1"/>
    </xf>
    <xf numFmtId="0" fontId="10" fillId="0" borderId="34" xfId="0" applyFont="1" applyBorder="1" applyAlignment="1">
      <alignment vertical="center" wrapText="1"/>
    </xf>
    <xf numFmtId="0" fontId="10" fillId="0" borderId="33" xfId="0" applyFont="1" applyBorder="1" applyAlignment="1">
      <alignment vertical="center" wrapText="1"/>
    </xf>
    <xf numFmtId="6" fontId="10" fillId="0" borderId="34" xfId="0" applyNumberFormat="1" applyFont="1" applyBorder="1" applyAlignment="1">
      <alignment vertical="center" wrapText="1"/>
    </xf>
    <xf numFmtId="6" fontId="10" fillId="0" borderId="33" xfId="0" applyNumberFormat="1" applyFont="1" applyBorder="1" applyAlignment="1">
      <alignment vertical="center" wrapText="1"/>
    </xf>
    <xf numFmtId="0" fontId="4" fillId="7" borderId="35" xfId="0" applyFont="1" applyFill="1" applyBorder="1" applyAlignment="1">
      <alignment horizontal="center"/>
    </xf>
    <xf numFmtId="0" fontId="4" fillId="7" borderId="36" xfId="0" applyFont="1" applyFill="1" applyBorder="1" applyAlignment="1">
      <alignment horizontal="center"/>
    </xf>
    <xf numFmtId="0" fontId="4" fillId="7" borderId="37" xfId="0" applyFont="1" applyFill="1" applyBorder="1" applyAlignment="1">
      <alignment horizontal="center"/>
    </xf>
    <xf numFmtId="0" fontId="0" fillId="12" borderId="25" xfId="0" applyFill="1" applyBorder="1" applyAlignment="1">
      <alignment horizontal="center" vertical="center"/>
    </xf>
    <xf numFmtId="0" fontId="0" fillId="12" borderId="43" xfId="0" applyFill="1" applyBorder="1" applyAlignment="1">
      <alignment horizontal="center" vertical="center"/>
    </xf>
    <xf numFmtId="0" fontId="0" fillId="12" borderId="45" xfId="0" applyFill="1" applyBorder="1" applyAlignment="1">
      <alignment horizontal="center" vertical="center"/>
    </xf>
    <xf numFmtId="42" fontId="0" fillId="0" borderId="37" xfId="0" applyNumberFormat="1" applyBorder="1" applyAlignment="1">
      <alignment horizontal="center" vertical="center"/>
    </xf>
    <xf numFmtId="42" fontId="0" fillId="0" borderId="1" xfId="0" applyNumberForma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3" borderId="14" xfId="0" applyFont="1" applyFill="1" applyBorder="1" applyAlignment="1">
      <alignment horizontal="center"/>
    </xf>
    <xf numFmtId="0" fontId="0" fillId="3" borderId="24" xfId="0" applyFill="1" applyBorder="1" applyAlignment="1"/>
    <xf numFmtId="0" fontId="0" fillId="3" borderId="15" xfId="0" applyFill="1" applyBorder="1" applyAlignment="1"/>
    <xf numFmtId="0" fontId="4" fillId="3" borderId="16" xfId="0" applyFont="1" applyFill="1" applyBorder="1" applyAlignment="1">
      <alignment horizontal="center"/>
    </xf>
    <xf numFmtId="0" fontId="0" fillId="3" borderId="17" xfId="0" applyFill="1" applyBorder="1" applyAlignment="1"/>
    <xf numFmtId="0" fontId="0" fillId="3" borderId="18" xfId="0" applyFill="1" applyBorder="1" applyAlignment="1"/>
    <xf numFmtId="0" fontId="4" fillId="3" borderId="20" xfId="0" applyFont="1" applyFill="1" applyBorder="1" applyAlignment="1">
      <alignment horizontal="center"/>
    </xf>
    <xf numFmtId="0" fontId="0" fillId="3" borderId="21" xfId="0" applyFill="1" applyBorder="1" applyAlignment="1"/>
    <xf numFmtId="0" fontId="0" fillId="3" borderId="22" xfId="0" applyFill="1" applyBorder="1" applyAlignment="1"/>
    <xf numFmtId="0" fontId="6" fillId="11" borderId="11" xfId="1" applyFont="1" applyFill="1" applyBorder="1" applyAlignment="1"/>
    <xf numFmtId="0" fontId="4" fillId="11" borderId="12" xfId="0" applyFont="1" applyFill="1" applyBorder="1" applyAlignment="1"/>
    <xf numFmtId="0" fontId="4" fillId="0" borderId="14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7" fillId="13" borderId="14" xfId="0" applyFont="1" applyFill="1" applyBorder="1" applyAlignment="1">
      <alignment horizontal="center" vertical="center" wrapText="1"/>
    </xf>
    <xf numFmtId="0" fontId="17" fillId="13" borderId="24" xfId="0" applyFont="1" applyFill="1" applyBorder="1" applyAlignment="1">
      <alignment horizontal="center" vertical="center" wrapText="1"/>
    </xf>
    <xf numFmtId="0" fontId="17" fillId="13" borderId="15" xfId="0" applyFont="1" applyFill="1" applyBorder="1" applyAlignment="1">
      <alignment horizontal="center" vertical="center" wrapText="1"/>
    </xf>
    <xf numFmtId="0" fontId="17" fillId="15" borderId="14" xfId="0" applyFont="1" applyFill="1" applyBorder="1" applyAlignment="1">
      <alignment horizontal="justify" vertical="center" wrapText="1"/>
    </xf>
    <xf numFmtId="0" fontId="17" fillId="15" borderId="15" xfId="0" applyFont="1" applyFill="1" applyBorder="1" applyAlignment="1">
      <alignment horizontal="justify" vertical="center" wrapText="1"/>
    </xf>
    <xf numFmtId="0" fontId="17" fillId="11" borderId="14" xfId="0" applyFont="1" applyFill="1" applyBorder="1" applyAlignment="1">
      <alignment horizontal="justify" vertical="center" wrapText="1"/>
    </xf>
    <xf numFmtId="0" fontId="17" fillId="11" borderId="15" xfId="0" applyFont="1" applyFill="1" applyBorder="1" applyAlignment="1">
      <alignment horizontal="justify" vertical="center" wrapText="1"/>
    </xf>
    <xf numFmtId="0" fontId="2" fillId="4" borderId="46" xfId="1" applyFont="1" applyFill="1" applyBorder="1"/>
    <xf numFmtId="0" fontId="2" fillId="4" borderId="9" xfId="1" applyFont="1" applyFill="1" applyBorder="1"/>
    <xf numFmtId="165" fontId="0" fillId="4" borderId="46" xfId="0" applyNumberFormat="1" applyFont="1" applyFill="1" applyBorder="1"/>
    <xf numFmtId="165" fontId="0" fillId="4" borderId="48" xfId="0" applyNumberFormat="1" applyFont="1" applyFill="1" applyBorder="1"/>
    <xf numFmtId="0" fontId="0" fillId="4" borderId="0" xfId="0" applyFont="1" applyFill="1"/>
    <xf numFmtId="0" fontId="2" fillId="4" borderId="8" xfId="1" applyFont="1" applyFill="1" applyBorder="1"/>
    <xf numFmtId="0" fontId="2" fillId="4" borderId="3" xfId="1" applyFont="1" applyFill="1" applyBorder="1"/>
    <xf numFmtId="0" fontId="2" fillId="4" borderId="4" xfId="1" applyFont="1" applyFill="1" applyBorder="1"/>
    <xf numFmtId="0" fontId="0" fillId="4" borderId="4" xfId="0" applyFont="1" applyFill="1" applyBorder="1"/>
    <xf numFmtId="44" fontId="0" fillId="4" borderId="4" xfId="4" applyFont="1" applyFill="1" applyBorder="1"/>
    <xf numFmtId="164" fontId="0" fillId="4" borderId="4" xfId="0" applyNumberFormat="1" applyFont="1" applyFill="1" applyBorder="1"/>
    <xf numFmtId="164" fontId="0" fillId="4" borderId="5" xfId="0" applyNumberFormat="1" applyFont="1" applyFill="1" applyBorder="1"/>
    <xf numFmtId="0" fontId="0" fillId="4" borderId="1" xfId="0" applyFont="1" applyFill="1" applyBorder="1"/>
    <xf numFmtId="44" fontId="0" fillId="4" borderId="1" xfId="4" applyFont="1" applyFill="1" applyBorder="1"/>
    <xf numFmtId="164" fontId="0" fillId="4" borderId="1" xfId="0" applyNumberFormat="1" applyFont="1" applyFill="1" applyBorder="1"/>
    <xf numFmtId="164" fontId="0" fillId="4" borderId="7" xfId="0" applyNumberFormat="1" applyFont="1" applyFill="1" applyBorder="1"/>
    <xf numFmtId="0" fontId="0" fillId="4" borderId="9" xfId="0" applyFont="1" applyFill="1" applyBorder="1"/>
    <xf numFmtId="44" fontId="0" fillId="4" borderId="9" xfId="4" applyFont="1" applyFill="1" applyBorder="1"/>
    <xf numFmtId="164" fontId="0" fillId="4" borderId="9" xfId="0" applyNumberFormat="1" applyFont="1" applyFill="1" applyBorder="1"/>
    <xf numFmtId="164" fontId="0" fillId="4" borderId="10" xfId="0" applyNumberFormat="1" applyFont="1" applyFill="1" applyBorder="1"/>
    <xf numFmtId="0" fontId="2" fillId="4" borderId="2" xfId="1" applyFont="1" applyFill="1" applyBorder="1"/>
    <xf numFmtId="0" fontId="0" fillId="4" borderId="2" xfId="0" applyFont="1" applyFill="1" applyBorder="1"/>
    <xf numFmtId="44" fontId="0" fillId="4" borderId="2" xfId="4" applyFont="1" applyFill="1" applyBorder="1"/>
    <xf numFmtId="44" fontId="0" fillId="4" borderId="53" xfId="4" applyFont="1" applyFill="1" applyBorder="1"/>
    <xf numFmtId="0" fontId="12" fillId="6" borderId="33" xfId="0" applyFont="1" applyFill="1" applyBorder="1" applyAlignment="1">
      <alignment horizontal="center" vertical="center" wrapText="1"/>
    </xf>
    <xf numFmtId="0" fontId="12" fillId="6" borderId="22" xfId="0" applyFont="1" applyFill="1" applyBorder="1" applyAlignment="1">
      <alignment horizontal="justify" vertical="center" wrapText="1"/>
    </xf>
    <xf numFmtId="169" fontId="12" fillId="6" borderId="22" xfId="4" applyNumberFormat="1" applyFont="1" applyFill="1" applyBorder="1" applyAlignment="1">
      <alignment horizontal="center" vertical="center" wrapText="1"/>
    </xf>
    <xf numFmtId="170" fontId="12" fillId="6" borderId="22" xfId="6" applyNumberFormat="1" applyFont="1" applyFill="1" applyBorder="1" applyAlignment="1">
      <alignment horizontal="center" vertical="center" wrapText="1"/>
    </xf>
    <xf numFmtId="49" fontId="0" fillId="0" borderId="19" xfId="0" applyNumberFormat="1" applyFill="1" applyBorder="1" applyAlignment="1">
      <alignment horizontal="center"/>
    </xf>
    <xf numFmtId="0" fontId="20" fillId="18" borderId="33" xfId="0" applyFont="1" applyFill="1" applyBorder="1" applyAlignment="1">
      <alignment horizontal="center" vertical="center" wrapText="1"/>
    </xf>
    <xf numFmtId="0" fontId="21" fillId="18" borderId="22" xfId="0" applyFont="1" applyFill="1" applyBorder="1" applyAlignment="1">
      <alignment horizontal="center" vertical="center" wrapText="1"/>
    </xf>
    <xf numFmtId="0" fontId="19" fillId="0" borderId="19" xfId="0" applyFont="1" applyBorder="1" applyAlignment="1">
      <alignment horizontal="justify" vertical="center" wrapText="1"/>
    </xf>
    <xf numFmtId="0" fontId="19" fillId="0" borderId="19" xfId="0" applyFont="1" applyBorder="1" applyAlignment="1">
      <alignment horizontal="left" vertical="center" wrapText="1" indent="5"/>
    </xf>
    <xf numFmtId="0" fontId="0" fillId="0" borderId="19" xfId="0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9" fillId="0" borderId="22" xfId="0" applyFont="1" applyBorder="1" applyAlignment="1">
      <alignment horizontal="left" vertical="center" wrapText="1" indent="5"/>
    </xf>
    <xf numFmtId="0" fontId="18" fillId="0" borderId="14" xfId="0" applyFont="1" applyBorder="1" applyAlignment="1">
      <alignment horizontal="left" vertical="center" wrapText="1" indent="5"/>
    </xf>
    <xf numFmtId="0" fontId="18" fillId="0" borderId="24" xfId="0" applyFont="1" applyBorder="1" applyAlignment="1">
      <alignment horizontal="left" vertical="center" wrapText="1" indent="5"/>
    </xf>
    <xf numFmtId="0" fontId="18" fillId="0" borderId="15" xfId="0" applyFont="1" applyBorder="1" applyAlignment="1">
      <alignment horizontal="left" vertical="center" wrapText="1" indent="5"/>
    </xf>
    <xf numFmtId="0" fontId="19" fillId="0" borderId="59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justify" vertical="center" wrapText="1"/>
    </xf>
    <xf numFmtId="0" fontId="19" fillId="0" borderId="33" xfId="0" applyFont="1" applyBorder="1" applyAlignment="1">
      <alignment horizontal="justify" vertical="center" wrapText="1"/>
    </xf>
    <xf numFmtId="0" fontId="19" fillId="0" borderId="34" xfId="0" applyFont="1" applyBorder="1" applyAlignment="1">
      <alignment horizontal="left" vertical="center" wrapText="1" indent="5"/>
    </xf>
    <xf numFmtId="0" fontId="19" fillId="0" borderId="33" xfId="0" applyFont="1" applyBorder="1" applyAlignment="1">
      <alignment horizontal="left" vertical="center" wrapText="1" indent="5"/>
    </xf>
    <xf numFmtId="0" fontId="19" fillId="0" borderId="59" xfId="0" applyFont="1" applyBorder="1" applyAlignment="1">
      <alignment horizontal="justify" vertical="center" wrapText="1"/>
    </xf>
  </cellXfs>
  <cellStyles count="11">
    <cellStyle name="Énfasis5" xfId="7" builtinId="45"/>
    <cellStyle name="Énfasis6" xfId="8" builtinId="49"/>
    <cellStyle name="Hipervínculo" xfId="9" builtinId="8"/>
    <cellStyle name="Millares" xfId="5" builtinId="3"/>
    <cellStyle name="Moneda" xfId="4" builtinId="4"/>
    <cellStyle name="Moneda [0]" xfId="6" builtinId="7"/>
    <cellStyle name="Normal" xfId="0" builtinId="0"/>
    <cellStyle name="Normal 2" xfId="2"/>
    <cellStyle name="Normal 3" xfId="3"/>
    <cellStyle name="Normal 4" xfId="1"/>
    <cellStyle name="Porcentaje" xfId="10" builtinId="5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4"/>
      <tableStyleElement type="headerRow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Relationship Id="rId22" Type="http://schemas.openxmlformats.org/officeDocument/2006/relationships/customXml" Target="../customXml/item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iedad Castro Castro" refreshedDate="42524.511924074075" createdVersion="5" refreshedVersion="5" minRefreshableVersion="3" recordCount="80">
  <cacheSource type="worksheet">
    <worksheetSource ref="A1:F82" sheet="Ingenieros"/>
  </cacheSource>
  <cacheFields count="6">
    <cacheField name="No" numFmtId="0">
      <sharedItems containsSemiMixedTypes="0" containsString="0" containsNumber="1" containsInteger="1" minValue="1" maxValue="80"/>
    </cacheField>
    <cacheField name="Proyecto" numFmtId="0">
      <sharedItems/>
    </cacheField>
    <cacheField name="Nombre" numFmtId="0">
      <sharedItems/>
    </cacheField>
    <cacheField name="ROL" numFmtId="0">
      <sharedItems count="7">
        <s v="PRUEBAS NO FUNCIONALES"/>
        <s v="PRUEBAS FUNCIONALES"/>
        <s v="DESARROLLO"/>
        <s v="INFRAESTRUCTURA"/>
        <s v="LIDER DESARROLLO"/>
        <s v="OPERADOR"/>
        <s v="RIESGOS"/>
      </sharedItems>
    </cacheField>
    <cacheField name="Cédula" numFmtId="3">
      <sharedItems containsString="0" containsBlank="1" containsNumber="1" containsInteger="1" minValue="364253" maxValue="1110452345"/>
    </cacheField>
    <cacheField name="Licencias" numFmtId="0">
      <sharedItems count="8">
        <s v="VISUAL STUDIO ULTIMATE"/>
        <s v="PROJECT SERVER WEB"/>
        <s v="TEST PROFESSIONAL"/>
        <s v="SQL SERVER DEVELOPER - MSDN"/>
        <s v="PROJECT PROFESSIONAL"/>
        <s v="NA"/>
        <s v="TOOLS SQL SERVER"/>
        <s v="VISI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0">
  <r>
    <n v="1"/>
    <s v="SIIF NACION"/>
    <s v="Adriana Milena Rangel Carrillo"/>
    <x v="0"/>
    <n v="60268318"/>
    <x v="0"/>
  </r>
  <r>
    <n v="2"/>
    <s v="SIIF NACION"/>
    <s v="Adriana Milena Rangel Carrillo"/>
    <x v="0"/>
    <m/>
    <x v="1"/>
  </r>
  <r>
    <n v="3"/>
    <s v="SIIF NACION"/>
    <s v="Alexander Arjona Aponte"/>
    <x v="1"/>
    <n v="1014193027"/>
    <x v="2"/>
  </r>
  <r>
    <n v="4"/>
    <s v="SIIF NACION"/>
    <s v="Alix Carolina Navarro Barreto"/>
    <x v="2"/>
    <n v="52425390"/>
    <x v="0"/>
  </r>
  <r>
    <n v="5"/>
    <s v="SIIF NACION"/>
    <s v="Andres Alberto Aguirre Luna "/>
    <x v="2"/>
    <n v="80795698"/>
    <x v="0"/>
  </r>
  <r>
    <n v="6"/>
    <s v="SIIF NACION"/>
    <s v="Andres Felipe Zambrano Arenas"/>
    <x v="2"/>
    <n v="1110452345"/>
    <x v="0"/>
  </r>
  <r>
    <n v="7"/>
    <s v="SIIF NACION"/>
    <s v="Boris Orlando Paez Sotomonte"/>
    <x v="3"/>
    <n v="79804640"/>
    <x v="3"/>
  </r>
  <r>
    <n v="8"/>
    <s v="SIIF NACION"/>
    <s v="Boris Orlando Paez Sotomonte"/>
    <x v="3"/>
    <n v="79804640"/>
    <x v="1"/>
  </r>
  <r>
    <n v="9"/>
    <s v="SIIF NACION"/>
    <s v="Camilo Andres Ramirez Patiño"/>
    <x v="2"/>
    <n v="80155831"/>
    <x v="0"/>
  </r>
  <r>
    <n v="10"/>
    <s v="SIIF NACION"/>
    <s v="Camilo Eduardo Rangel Diago"/>
    <x v="2"/>
    <n v="10303163"/>
    <x v="0"/>
  </r>
  <r>
    <n v="11"/>
    <s v="SIIF NACION"/>
    <s v="Carla Patricia Durango Velandia"/>
    <x v="2"/>
    <n v="51599882"/>
    <x v="0"/>
  </r>
  <r>
    <n v="12"/>
    <s v="SIIF NACION"/>
    <s v="Carla Patricia Durango Velandia"/>
    <x v="2"/>
    <n v="51599882"/>
    <x v="1"/>
  </r>
  <r>
    <n v="13"/>
    <s v="SIIF NACION"/>
    <s v="Cesar Orlando Andrade Saavedra"/>
    <x v="2"/>
    <n v="79952123"/>
    <x v="0"/>
  </r>
  <r>
    <n v="14"/>
    <s v="SIIF NACION"/>
    <s v="Claudia Evelia Lopez Hernandez "/>
    <x v="4"/>
    <n v="24080618"/>
    <x v="4"/>
  </r>
  <r>
    <n v="15"/>
    <s v="SIIF NACION"/>
    <s v="Claudia Evelia Lopez Hernandez "/>
    <x v="4"/>
    <n v="24080618"/>
    <x v="1"/>
  </r>
  <r>
    <n v="16"/>
    <s v="SIIF NACION"/>
    <s v="Claudia Evelia Lopez Hernandez "/>
    <x v="4"/>
    <n v="24080618"/>
    <x v="0"/>
  </r>
  <r>
    <n v="17"/>
    <s v="SIIF NACION"/>
    <s v="Claudia Rocio Castellanos Blanco"/>
    <x v="0"/>
    <n v="63350952"/>
    <x v="0"/>
  </r>
  <r>
    <n v="18"/>
    <s v="SIIF NACION"/>
    <s v="Dary Luz Gonzalez Ahumada"/>
    <x v="2"/>
    <n v="36665658"/>
    <x v="0"/>
  </r>
  <r>
    <n v="19"/>
    <s v="SIIF NACION"/>
    <s v="Didier Anibal Beltran Cadena"/>
    <x v="2"/>
    <n v="79422953"/>
    <x v="0"/>
  </r>
  <r>
    <n v="20"/>
    <s v="SIIF NACION"/>
    <s v="Diego Alejandro Ospina Pinzon"/>
    <x v="2"/>
    <n v="80187189"/>
    <x v="0"/>
  </r>
  <r>
    <n v="21"/>
    <s v="SIIF NACION"/>
    <s v="Diego Alexander Estupiñan Sisa"/>
    <x v="2"/>
    <n v="7186107"/>
    <x v="0"/>
  </r>
  <r>
    <n v="22"/>
    <s v="SIIF NACION"/>
    <s v="Diego Eduardo Rozo Castañeda"/>
    <x v="2"/>
    <n v="80853153"/>
    <x v="0"/>
  </r>
  <r>
    <n v="23"/>
    <s v="SIIF NACION"/>
    <s v="DESARROLLADOR"/>
    <x v="2"/>
    <m/>
    <x v="0"/>
  </r>
  <r>
    <n v="24"/>
    <s v="SIIF NACION"/>
    <s v="DESARROLLADOR"/>
    <x v="2"/>
    <m/>
    <x v="1"/>
  </r>
  <r>
    <n v="25"/>
    <s v="SIIF NACION"/>
    <s v="Emir Leonel Montañez Coronado"/>
    <x v="3"/>
    <n v="7182829"/>
    <x v="5"/>
  </r>
  <r>
    <n v="26"/>
    <s v="SIIF NACION"/>
    <s v="Estacion de Trabajo"/>
    <x v="2"/>
    <m/>
    <x v="0"/>
  </r>
  <r>
    <n v="27"/>
    <s v="SIIF NACION"/>
    <s v="Estacion de Trabajo"/>
    <x v="0"/>
    <m/>
    <x v="0"/>
  </r>
  <r>
    <n v="28"/>
    <s v="SIIF NACION"/>
    <s v="Fernando Ramirez Gonzalez"/>
    <x v="2"/>
    <n v="79442048"/>
    <x v="0"/>
  </r>
  <r>
    <n v="29"/>
    <s v="SIIF NACION"/>
    <s v="Fredy Alejandro Gutierrez Achury"/>
    <x v="2"/>
    <n v="79357680"/>
    <x v="0"/>
  </r>
  <r>
    <n v="30"/>
    <s v="SIIF NACION"/>
    <s v="Gineth Paola Saenz Pinzon"/>
    <x v="1"/>
    <n v="1057514169"/>
    <x v="2"/>
  </r>
  <r>
    <n v="31"/>
    <s v="SIIF NACION"/>
    <s v="Guillermo Alejandro Puentes Gomez"/>
    <x v="5"/>
    <n v="11228781"/>
    <x v="6"/>
  </r>
  <r>
    <n v="32"/>
    <s v="SIIF NACION"/>
    <s v="Hector Andres Leal Vega"/>
    <x v="2"/>
    <n v="80756848"/>
    <x v="0"/>
  </r>
  <r>
    <n v="33"/>
    <s v="SIIF NACION"/>
    <s v="Javier Eduardo Lizarazo Lizarazo"/>
    <x v="2"/>
    <n v="79884976"/>
    <x v="0"/>
  </r>
  <r>
    <n v="34"/>
    <s v="SIIF NACION"/>
    <s v="Jesús Daniel Rodríguez Reinel"/>
    <x v="2"/>
    <n v="80068226"/>
    <x v="0"/>
  </r>
  <r>
    <n v="35"/>
    <s v="SIIF NACION"/>
    <s v="Jhon Eduardo Santoyo Avila"/>
    <x v="2"/>
    <n v="7164619"/>
    <x v="0"/>
  </r>
  <r>
    <n v="36"/>
    <s v="SIIF NACION"/>
    <s v="Jhon Fredy Hernandez Leal"/>
    <x v="5"/>
    <n v="80258095"/>
    <x v="6"/>
  </r>
  <r>
    <n v="37"/>
    <s v="SIIF NACION"/>
    <s v="Jhon Garcia Jara"/>
    <x v="5"/>
    <n v="79757195"/>
    <x v="6"/>
  </r>
  <r>
    <n v="38"/>
    <s v="SIIF NACION"/>
    <s v="Jhonatan Javier Garcia Catañeda"/>
    <x v="0"/>
    <n v="80736676"/>
    <x v="0"/>
  </r>
  <r>
    <n v="39"/>
    <s v="SIIF NACION"/>
    <s v="John Jairo Betancourt Arango"/>
    <x v="2"/>
    <n v="10294822"/>
    <x v="0"/>
  </r>
  <r>
    <n v="40"/>
    <s v="SIIF NACION"/>
    <s v="Jorge Alberto Gonzalez Bernal"/>
    <x v="4"/>
    <n v="11185566"/>
    <x v="0"/>
  </r>
  <r>
    <n v="41"/>
    <s v="SIIF NACION"/>
    <s v="Jorge Alberto Gonzalez Bernal"/>
    <x v="4"/>
    <n v="11185566"/>
    <x v="4"/>
  </r>
  <r>
    <n v="42"/>
    <s v="SIIF NACION"/>
    <s v="Jorge Alberto Gonzalez Bernal"/>
    <x v="4"/>
    <n v="11185566"/>
    <x v="1"/>
  </r>
  <r>
    <n v="43"/>
    <s v="SIIF NACION"/>
    <s v="Jorge Sandoval Gonzalez "/>
    <x v="3"/>
    <n v="16288213"/>
    <x v="7"/>
  </r>
  <r>
    <n v="44"/>
    <s v="SIIF NACION"/>
    <s v="Jorge Sandoval Gonzalez "/>
    <x v="3"/>
    <n v="16288213"/>
    <x v="1"/>
  </r>
  <r>
    <n v="45"/>
    <s v="SIIF NACION"/>
    <s v="Jose Alberto Ahumada Linares"/>
    <x v="2"/>
    <n v="79430854"/>
    <x v="0"/>
  </r>
  <r>
    <n v="46"/>
    <s v="SIIF NACION"/>
    <s v="Jose Alberto Ahumada Linares"/>
    <x v="2"/>
    <n v="79430854"/>
    <x v="4"/>
  </r>
  <r>
    <n v="47"/>
    <s v="SIIF NACION"/>
    <s v="Jose Alberto Ahumada Linares"/>
    <x v="2"/>
    <n v="79430854"/>
    <x v="1"/>
  </r>
  <r>
    <n v="48"/>
    <s v="SIIF NACION"/>
    <s v="Juan Alejandro Moreno Rodriguez"/>
    <x v="2"/>
    <n v="79748989"/>
    <x v="0"/>
  </r>
  <r>
    <n v="49"/>
    <s v="SIIF NACION"/>
    <s v="Julio Cesar Moreno Perdomo "/>
    <x v="3"/>
    <n v="79956389"/>
    <x v="4"/>
  </r>
  <r>
    <n v="50"/>
    <s v="SIIF NACION"/>
    <s v="Julio Cesar Moreno Perdomo "/>
    <x v="3"/>
    <n v="79956389"/>
    <x v="1"/>
  </r>
  <r>
    <n v="51"/>
    <s v="SIIF NACION"/>
    <s v="Lady Catalina Castillo Puentes"/>
    <x v="2"/>
    <n v="52899089"/>
    <x v="0"/>
  </r>
  <r>
    <n v="52"/>
    <s v="SIIF NACION"/>
    <s v="Lady Dayana Pinto Bernal"/>
    <x v="1"/>
    <n v="1018411531"/>
    <x v="2"/>
  </r>
  <r>
    <n v="53"/>
    <s v="SIIF NACION"/>
    <s v="Leonardo Abello Rico"/>
    <x v="2"/>
    <n v="79467235"/>
    <x v="0"/>
  </r>
  <r>
    <n v="54"/>
    <s v="SIIF NACION"/>
    <s v="Luis Alejandro Vargas Bolivar"/>
    <x v="2"/>
    <n v="80793538"/>
    <x v="0"/>
  </r>
  <r>
    <n v="55"/>
    <s v="SIIF NACION"/>
    <s v="Luis Carlos Triana Uribe"/>
    <x v="3"/>
    <n v="91078608"/>
    <x v="1"/>
  </r>
  <r>
    <n v="56"/>
    <s v="SIIF NACION"/>
    <s v="Luis Carlos Triana Uribe"/>
    <x v="3"/>
    <n v="91078608"/>
    <x v="7"/>
  </r>
  <r>
    <n v="57"/>
    <s v="SIIF NACION"/>
    <s v="Luis Grimaldo Begazo Samanez"/>
    <x v="2"/>
    <n v="364253"/>
    <x v="0"/>
  </r>
  <r>
    <n v="58"/>
    <s v="SIIF NACION"/>
    <s v="Marby Yulied Leguizamon Gamez"/>
    <x v="2"/>
    <n v="33677900"/>
    <x v="0"/>
  </r>
  <r>
    <n v="59"/>
    <s v="SIIF NACION"/>
    <s v="Mario Fernando Rubiano Cajiao"/>
    <x v="2"/>
    <n v="79985698"/>
    <x v="0"/>
  </r>
  <r>
    <n v="60"/>
    <s v="SIIF NACION"/>
    <s v="Mauricio Peña Rosas"/>
    <x v="2"/>
    <n v="72284101"/>
    <x v="0"/>
  </r>
  <r>
    <n v="61"/>
    <s v="SIIF NACION"/>
    <s v="Mauricio Torres Escobar"/>
    <x v="2"/>
    <n v="79289867"/>
    <x v="0"/>
  </r>
  <r>
    <n v="62"/>
    <s v="SIIF NACION"/>
    <s v="Natuska Gómez Ayala"/>
    <x v="6"/>
    <n v="51937089"/>
    <x v="0"/>
  </r>
  <r>
    <n v="63"/>
    <s v="SIIF NACION"/>
    <s v="Natuska Gómez Ayala"/>
    <x v="6"/>
    <m/>
    <x v="4"/>
  </r>
  <r>
    <n v="64"/>
    <s v="SIIF NACION"/>
    <s v="Natuska Gómez Ayala"/>
    <x v="6"/>
    <m/>
    <x v="1"/>
  </r>
  <r>
    <n v="65"/>
    <s v="SIIF NACION"/>
    <s v="Nelson Ricardo Restrepo Ramirez"/>
    <x v="2"/>
    <n v="79632597"/>
    <x v="0"/>
  </r>
  <r>
    <n v="66"/>
    <s v="SIIF NACION"/>
    <s v="Nelson Ricardo Restrepo Ramirez"/>
    <x v="2"/>
    <n v="79632597"/>
    <x v="4"/>
  </r>
  <r>
    <n v="67"/>
    <s v="SIIF NACION"/>
    <s v="Nelson Ricardo Restrepo Ramirez"/>
    <x v="2"/>
    <n v="79632597"/>
    <x v="1"/>
  </r>
  <r>
    <n v="68"/>
    <s v="SIIF NACION"/>
    <s v="PRUEBAS FUNCIONALES"/>
    <x v="1"/>
    <m/>
    <x v="2"/>
  </r>
  <r>
    <n v="69"/>
    <s v="SIIF NACION"/>
    <s v="Olga Lucia Prieto Grimaldo"/>
    <x v="2"/>
    <n v="52008835"/>
    <x v="0"/>
  </r>
  <r>
    <n v="70"/>
    <s v="SIIF NACION"/>
    <s v="Oscar Alexander Nope Saavedra"/>
    <x v="2"/>
    <n v="79800497"/>
    <x v="0"/>
  </r>
  <r>
    <n v="71"/>
    <s v="SIIF NACION"/>
    <s v="DESARROLLADOR"/>
    <x v="2"/>
    <n v="79890314"/>
    <x v="0"/>
  </r>
  <r>
    <n v="72"/>
    <s v="SIIF NACION"/>
    <s v="Oscar Dario León Ayala"/>
    <x v="0"/>
    <n v="79911382"/>
    <x v="0"/>
  </r>
  <r>
    <n v="73"/>
    <s v="SIIF NACION"/>
    <s v="Rafael Guillermo Plazas Sierra"/>
    <x v="2"/>
    <n v="79835210"/>
    <x v="0"/>
  </r>
  <r>
    <n v="74"/>
    <s v="SIIF NACION"/>
    <s v="Raul Alberto Omen Enriquez"/>
    <x v="2"/>
    <n v="4616354"/>
    <x v="0"/>
  </r>
  <r>
    <n v="75"/>
    <s v="SIIF NACION"/>
    <s v="LIDER DESARROLLO"/>
    <x v="4"/>
    <m/>
    <x v="0"/>
  </r>
  <r>
    <n v="76"/>
    <s v="SIIF NACION"/>
    <s v="LIDER DESARROLLO"/>
    <x v="4"/>
    <m/>
    <x v="4"/>
  </r>
  <r>
    <n v="77"/>
    <s v="SIIF NACION"/>
    <s v="LIDER DESARROLLO"/>
    <x v="4"/>
    <m/>
    <x v="1"/>
  </r>
  <r>
    <n v="78"/>
    <s v="SIIF NACION"/>
    <s v="Tulio Armando Niño Ballesteros "/>
    <x v="3"/>
    <n v="79414249"/>
    <x v="1"/>
  </r>
  <r>
    <n v="79"/>
    <s v="SIIF NACION"/>
    <s v="William Javier Barreto Parra"/>
    <x v="2"/>
    <n v="79894191"/>
    <x v="0"/>
  </r>
  <r>
    <n v="80"/>
    <s v="SIIF NACION"/>
    <s v="Wilson Reinel Zambrano"/>
    <x v="2"/>
    <n v="79821258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6" cacheId="3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3:I12" firstHeaderRow="1" firstDataRow="2" firstDataCol="1"/>
  <pivotFields count="6">
    <pivotField dataField="1" showAll="0"/>
    <pivotField showAll="0"/>
    <pivotField showAll="0"/>
    <pivotField axis="axisRow" showAll="0">
      <items count="8">
        <item x="2"/>
        <item x="3"/>
        <item x="4"/>
        <item x="5"/>
        <item x="1"/>
        <item x="0"/>
        <item x="6"/>
        <item t="default"/>
      </items>
    </pivotField>
    <pivotField showAll="0"/>
    <pivotField axis="axisCol" showAll="0">
      <items count="9">
        <item h="1" x="5"/>
        <item x="4"/>
        <item x="1"/>
        <item x="3"/>
        <item x="2"/>
        <item x="6"/>
        <item x="7"/>
        <item x="0"/>
        <item t="default"/>
      </items>
    </pivotField>
  </pivotFields>
  <rowFields count="1">
    <field x="3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5"/>
  </colFields>
  <colItems count="8"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Cuenta de No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B18" sqref="B18"/>
    </sheetView>
  </sheetViews>
  <sheetFormatPr baseColWidth="10" defaultRowHeight="15" x14ac:dyDescent="0.25"/>
  <cols>
    <col min="1" max="1" width="15.5703125" style="3" bestFit="1" customWidth="1"/>
    <col min="2" max="2" width="80" style="3" customWidth="1"/>
    <col min="3" max="3" width="13.7109375" style="3" bestFit="1" customWidth="1"/>
    <col min="4" max="4" width="6.42578125" style="3" bestFit="1" customWidth="1"/>
    <col min="5" max="5" width="5.85546875" style="3" customWidth="1"/>
    <col min="6" max="6" width="0.85546875" style="3" hidden="1" customWidth="1"/>
    <col min="7" max="7" width="20.7109375" style="3" bestFit="1" customWidth="1"/>
    <col min="8" max="8" width="18.140625" style="3" bestFit="1" customWidth="1"/>
    <col min="9" max="9" width="15.140625" style="3" bestFit="1" customWidth="1"/>
    <col min="10" max="10" width="11.42578125" style="3"/>
    <col min="11" max="11" width="16.28515625" style="3" bestFit="1" customWidth="1"/>
    <col min="12" max="12" width="17.85546875" style="3" bestFit="1" customWidth="1"/>
    <col min="13" max="16384" width="11.42578125" style="3"/>
  </cols>
  <sheetData>
    <row r="1" spans="1:11" ht="30.75" thickBot="1" x14ac:dyDescent="0.3">
      <c r="A1" s="66" t="s">
        <v>72</v>
      </c>
      <c r="B1" s="66" t="s">
        <v>71</v>
      </c>
      <c r="C1" s="66" t="s">
        <v>68</v>
      </c>
      <c r="D1" s="66" t="s">
        <v>69</v>
      </c>
      <c r="E1" s="66" t="s">
        <v>31</v>
      </c>
      <c r="F1" s="15" t="s">
        <v>56</v>
      </c>
      <c r="G1" s="50" t="s">
        <v>61</v>
      </c>
      <c r="H1" s="50" t="s">
        <v>62</v>
      </c>
      <c r="I1" s="50" t="s">
        <v>91</v>
      </c>
    </row>
    <row r="2" spans="1:11" x14ac:dyDescent="0.25">
      <c r="A2" s="16" t="s">
        <v>32</v>
      </c>
      <c r="B2" s="17" t="s">
        <v>34</v>
      </c>
      <c r="C2" s="17" t="s">
        <v>0</v>
      </c>
      <c r="D2" s="17">
        <v>1</v>
      </c>
      <c r="E2" s="17" t="s">
        <v>33</v>
      </c>
      <c r="F2" s="17" t="s">
        <v>53</v>
      </c>
      <c r="G2" s="18">
        <v>15833483.517447</v>
      </c>
      <c r="H2" s="19">
        <f>G2*D2</f>
        <v>15833483.517447</v>
      </c>
      <c r="I2" s="19">
        <f t="shared" ref="I2:I46" si="0">+H2/$I$48</f>
        <v>3166696.7034894</v>
      </c>
    </row>
    <row r="3" spans="1:11" x14ac:dyDescent="0.25">
      <c r="A3" s="20" t="s">
        <v>32</v>
      </c>
      <c r="B3" s="1" t="s">
        <v>34</v>
      </c>
      <c r="C3" s="1" t="s">
        <v>5</v>
      </c>
      <c r="D3" s="1">
        <v>1</v>
      </c>
      <c r="E3" s="1" t="s">
        <v>33</v>
      </c>
      <c r="F3" s="1" t="s">
        <v>53</v>
      </c>
      <c r="G3" s="9">
        <v>15833483.517447</v>
      </c>
      <c r="H3" s="21">
        <f>G3*D3</f>
        <v>15833483.517447</v>
      </c>
      <c r="I3" s="21">
        <f t="shared" si="0"/>
        <v>3166696.7034894</v>
      </c>
    </row>
    <row r="4" spans="1:11" x14ac:dyDescent="0.25">
      <c r="A4" s="20" t="s">
        <v>32</v>
      </c>
      <c r="B4" s="1" t="s">
        <v>34</v>
      </c>
      <c r="C4" s="1" t="s">
        <v>14</v>
      </c>
      <c r="D4" s="1">
        <v>1</v>
      </c>
      <c r="E4" s="1" t="s">
        <v>33</v>
      </c>
      <c r="F4" s="1" t="s">
        <v>53</v>
      </c>
      <c r="G4" s="9">
        <v>15833483.517447</v>
      </c>
      <c r="H4" s="21">
        <f t="shared" ref="H4:H27" si="1">G4*D4</f>
        <v>15833483.517447</v>
      </c>
      <c r="I4" s="21">
        <f t="shared" si="0"/>
        <v>3166696.7034894</v>
      </c>
    </row>
    <row r="5" spans="1:11" x14ac:dyDescent="0.25">
      <c r="A5" s="20" t="s">
        <v>32</v>
      </c>
      <c r="B5" s="1" t="s">
        <v>34</v>
      </c>
      <c r="C5" s="1" t="s">
        <v>3</v>
      </c>
      <c r="D5" s="1">
        <v>1</v>
      </c>
      <c r="E5" s="1" t="s">
        <v>33</v>
      </c>
      <c r="F5" s="1" t="s">
        <v>53</v>
      </c>
      <c r="G5" s="9">
        <v>15833483.517447</v>
      </c>
      <c r="H5" s="21">
        <f t="shared" si="1"/>
        <v>15833483.517447</v>
      </c>
      <c r="I5" s="21">
        <f t="shared" si="0"/>
        <v>3166696.7034894</v>
      </c>
    </row>
    <row r="6" spans="1:11" x14ac:dyDescent="0.25">
      <c r="A6" s="20" t="s">
        <v>32</v>
      </c>
      <c r="B6" s="1" t="s">
        <v>34</v>
      </c>
      <c r="C6" s="1" t="s">
        <v>6</v>
      </c>
      <c r="D6" s="1">
        <v>1</v>
      </c>
      <c r="E6" s="1" t="s">
        <v>33</v>
      </c>
      <c r="F6" s="1" t="s">
        <v>53</v>
      </c>
      <c r="G6" s="9">
        <v>15833483.517447</v>
      </c>
      <c r="H6" s="21">
        <f t="shared" si="1"/>
        <v>15833483.517447</v>
      </c>
      <c r="I6" s="21">
        <f t="shared" si="0"/>
        <v>3166696.7034894</v>
      </c>
    </row>
    <row r="7" spans="1:11" x14ac:dyDescent="0.25">
      <c r="A7" s="20" t="s">
        <v>32</v>
      </c>
      <c r="B7" s="1" t="s">
        <v>34</v>
      </c>
      <c r="C7" s="1" t="s">
        <v>11</v>
      </c>
      <c r="D7" s="1">
        <v>1</v>
      </c>
      <c r="E7" s="1" t="s">
        <v>33</v>
      </c>
      <c r="F7" s="1" t="s">
        <v>53</v>
      </c>
      <c r="G7" s="9">
        <v>15833483.517447</v>
      </c>
      <c r="H7" s="21">
        <f t="shared" si="1"/>
        <v>15833483.517447</v>
      </c>
      <c r="I7" s="21">
        <f t="shared" si="0"/>
        <v>3166696.7034894</v>
      </c>
    </row>
    <row r="8" spans="1:11" x14ac:dyDescent="0.25">
      <c r="A8" s="20" t="s">
        <v>32</v>
      </c>
      <c r="B8" s="1" t="s">
        <v>34</v>
      </c>
      <c r="C8" s="1" t="s">
        <v>13</v>
      </c>
      <c r="D8" s="1">
        <v>1</v>
      </c>
      <c r="E8" s="1" t="s">
        <v>33</v>
      </c>
      <c r="F8" s="1" t="s">
        <v>53</v>
      </c>
      <c r="G8" s="9">
        <v>15833483.517447</v>
      </c>
      <c r="H8" s="21">
        <f t="shared" si="1"/>
        <v>15833483.517447</v>
      </c>
      <c r="I8" s="21">
        <f t="shared" si="0"/>
        <v>3166696.7034894</v>
      </c>
    </row>
    <row r="9" spans="1:11" x14ac:dyDescent="0.25">
      <c r="A9" s="20" t="s">
        <v>32</v>
      </c>
      <c r="B9" s="1" t="s">
        <v>34</v>
      </c>
      <c r="C9" s="1" t="s">
        <v>9</v>
      </c>
      <c r="D9" s="1">
        <v>1</v>
      </c>
      <c r="E9" s="1" t="s">
        <v>33</v>
      </c>
      <c r="F9" s="1" t="s">
        <v>53</v>
      </c>
      <c r="G9" s="9">
        <v>15833483.517447</v>
      </c>
      <c r="H9" s="21">
        <f t="shared" si="1"/>
        <v>15833483.517447</v>
      </c>
      <c r="I9" s="21">
        <f t="shared" si="0"/>
        <v>3166696.7034894</v>
      </c>
    </row>
    <row r="10" spans="1:11" x14ac:dyDescent="0.25">
      <c r="A10" s="20" t="s">
        <v>32</v>
      </c>
      <c r="B10" s="1" t="s">
        <v>34</v>
      </c>
      <c r="C10" s="1" t="s">
        <v>12</v>
      </c>
      <c r="D10" s="1">
        <v>1</v>
      </c>
      <c r="E10" s="1" t="s">
        <v>33</v>
      </c>
      <c r="F10" s="1" t="s">
        <v>53</v>
      </c>
      <c r="G10" s="9">
        <v>15833483.517447</v>
      </c>
      <c r="H10" s="21">
        <f t="shared" si="1"/>
        <v>15833483.517447</v>
      </c>
      <c r="I10" s="21">
        <f t="shared" si="0"/>
        <v>3166696.7034894</v>
      </c>
    </row>
    <row r="11" spans="1:11" x14ac:dyDescent="0.25">
      <c r="A11" s="20" t="s">
        <v>32</v>
      </c>
      <c r="B11" s="1" t="s">
        <v>34</v>
      </c>
      <c r="C11" s="1" t="s">
        <v>2</v>
      </c>
      <c r="D11" s="1">
        <v>1</v>
      </c>
      <c r="E11" s="1" t="s">
        <v>33</v>
      </c>
      <c r="F11" s="1" t="s">
        <v>53</v>
      </c>
      <c r="G11" s="9">
        <v>15833483.517447</v>
      </c>
      <c r="H11" s="21">
        <f t="shared" si="1"/>
        <v>15833483.517447</v>
      </c>
      <c r="I11" s="21">
        <f t="shared" si="0"/>
        <v>3166696.7034894</v>
      </c>
    </row>
    <row r="12" spans="1:11" x14ac:dyDescent="0.25">
      <c r="A12" s="20" t="s">
        <v>32</v>
      </c>
      <c r="B12" s="1" t="s">
        <v>34</v>
      </c>
      <c r="C12" s="1" t="s">
        <v>7</v>
      </c>
      <c r="D12" s="1">
        <v>1</v>
      </c>
      <c r="E12" s="1" t="s">
        <v>33</v>
      </c>
      <c r="F12" s="1" t="s">
        <v>53</v>
      </c>
      <c r="G12" s="9">
        <v>15833483.517447</v>
      </c>
      <c r="H12" s="21">
        <f t="shared" si="1"/>
        <v>15833483.517447</v>
      </c>
      <c r="I12" s="21">
        <f t="shared" si="0"/>
        <v>3166696.7034894</v>
      </c>
    </row>
    <row r="13" spans="1:11" x14ac:dyDescent="0.25">
      <c r="A13" s="20" t="s">
        <v>32</v>
      </c>
      <c r="B13" s="1" t="s">
        <v>34</v>
      </c>
      <c r="C13" s="1" t="s">
        <v>15</v>
      </c>
      <c r="D13" s="1">
        <v>1</v>
      </c>
      <c r="E13" s="1" t="s">
        <v>33</v>
      </c>
      <c r="F13" s="1" t="s">
        <v>53</v>
      </c>
      <c r="G13" s="9">
        <v>15833483.517447</v>
      </c>
      <c r="H13" s="21">
        <f t="shared" si="1"/>
        <v>15833483.517447</v>
      </c>
      <c r="I13" s="21">
        <f t="shared" si="0"/>
        <v>3166696.7034894</v>
      </c>
    </row>
    <row r="14" spans="1:11" x14ac:dyDescent="0.25">
      <c r="A14" s="20" t="s">
        <v>32</v>
      </c>
      <c r="B14" s="1" t="s">
        <v>34</v>
      </c>
      <c r="C14" s="1" t="s">
        <v>8</v>
      </c>
      <c r="D14" s="1">
        <v>1</v>
      </c>
      <c r="E14" s="1" t="s">
        <v>33</v>
      </c>
      <c r="F14" s="1" t="s">
        <v>53</v>
      </c>
      <c r="G14" s="9">
        <v>15833483.517447</v>
      </c>
      <c r="H14" s="21">
        <f t="shared" si="1"/>
        <v>15833483.517447</v>
      </c>
      <c r="I14" s="21">
        <f t="shared" si="0"/>
        <v>3166696.7034894</v>
      </c>
    </row>
    <row r="15" spans="1:11" x14ac:dyDescent="0.25">
      <c r="A15" s="20" t="s">
        <v>32</v>
      </c>
      <c r="B15" s="1" t="s">
        <v>34</v>
      </c>
      <c r="C15" s="1" t="s">
        <v>10</v>
      </c>
      <c r="D15" s="1">
        <v>1</v>
      </c>
      <c r="E15" s="1" t="s">
        <v>33</v>
      </c>
      <c r="F15" s="1" t="s">
        <v>53</v>
      </c>
      <c r="G15" s="9">
        <v>15833483.517447</v>
      </c>
      <c r="H15" s="21">
        <f t="shared" si="1"/>
        <v>15833483.517447</v>
      </c>
      <c r="I15" s="21">
        <f t="shared" si="0"/>
        <v>3166696.7034894</v>
      </c>
      <c r="J15" s="8"/>
      <c r="K15" s="8"/>
    </row>
    <row r="16" spans="1:11" x14ac:dyDescent="0.25">
      <c r="A16" s="20" t="s">
        <v>32</v>
      </c>
      <c r="B16" s="1" t="s">
        <v>34</v>
      </c>
      <c r="C16" s="1" t="s">
        <v>4</v>
      </c>
      <c r="D16" s="1">
        <v>1</v>
      </c>
      <c r="E16" s="1" t="s">
        <v>33</v>
      </c>
      <c r="F16" s="1" t="s">
        <v>53</v>
      </c>
      <c r="G16" s="9">
        <v>15833483.517447</v>
      </c>
      <c r="H16" s="21">
        <f t="shared" si="1"/>
        <v>15833483.517447</v>
      </c>
      <c r="I16" s="21">
        <f t="shared" si="0"/>
        <v>3166696.7034894</v>
      </c>
      <c r="J16" s="8"/>
      <c r="K16" s="8"/>
    </row>
    <row r="17" spans="1:12" ht="15.75" thickBot="1" x14ac:dyDescent="0.3">
      <c r="A17" s="22" t="s">
        <v>32</v>
      </c>
      <c r="B17" s="23" t="s">
        <v>34</v>
      </c>
      <c r="C17" s="23" t="s">
        <v>1</v>
      </c>
      <c r="D17" s="23">
        <v>1</v>
      </c>
      <c r="E17" s="23" t="s">
        <v>33</v>
      </c>
      <c r="F17" s="23" t="s">
        <v>53</v>
      </c>
      <c r="G17" s="24">
        <v>15833483.517447</v>
      </c>
      <c r="H17" s="25">
        <f t="shared" si="1"/>
        <v>15833483.517447</v>
      </c>
      <c r="I17" s="25">
        <f t="shared" si="0"/>
        <v>3166696.7034894</v>
      </c>
      <c r="J17" s="8"/>
      <c r="K17" s="8"/>
    </row>
    <row r="18" spans="1:12" x14ac:dyDescent="0.25">
      <c r="A18" s="16" t="s">
        <v>32</v>
      </c>
      <c r="B18" s="17" t="s">
        <v>40</v>
      </c>
      <c r="C18" s="17" t="s">
        <v>41</v>
      </c>
      <c r="D18" s="17">
        <v>1</v>
      </c>
      <c r="E18" s="17"/>
      <c r="F18" s="41" t="s">
        <v>57</v>
      </c>
      <c r="G18" s="46">
        <v>17970621.27</v>
      </c>
      <c r="H18" s="47">
        <f>G18*D18</f>
        <v>17970621.27</v>
      </c>
      <c r="I18" s="47">
        <f t="shared" si="0"/>
        <v>3594124.2539999997</v>
      </c>
      <c r="K18" s="6"/>
    </row>
    <row r="19" spans="1:12" ht="15.75" thickBot="1" x14ac:dyDescent="0.3">
      <c r="A19" s="22" t="s">
        <v>32</v>
      </c>
      <c r="B19" s="23" t="s">
        <v>40</v>
      </c>
      <c r="C19" s="23" t="s">
        <v>42</v>
      </c>
      <c r="D19" s="23">
        <v>1</v>
      </c>
      <c r="E19" s="23"/>
      <c r="F19" s="44" t="s">
        <v>57</v>
      </c>
      <c r="G19" s="45">
        <v>17970621.27</v>
      </c>
      <c r="H19" s="49">
        <f>G19*D19</f>
        <v>17970621.27</v>
      </c>
      <c r="I19" s="49">
        <f t="shared" si="0"/>
        <v>3594124.2539999997</v>
      </c>
      <c r="L19" s="6"/>
    </row>
    <row r="20" spans="1:12" x14ac:dyDescent="0.25">
      <c r="A20" s="42" t="s">
        <v>32</v>
      </c>
      <c r="B20" s="2" t="s">
        <v>37</v>
      </c>
      <c r="C20" s="1" t="s">
        <v>24</v>
      </c>
      <c r="D20" s="2">
        <v>1</v>
      </c>
      <c r="E20" s="2"/>
      <c r="F20" s="4" t="s">
        <v>55</v>
      </c>
      <c r="G20" s="11">
        <v>6834547</v>
      </c>
      <c r="H20" s="43">
        <f>G20*D20</f>
        <v>6834547</v>
      </c>
      <c r="I20" s="43">
        <f t="shared" si="0"/>
        <v>1366909.4</v>
      </c>
    </row>
    <row r="21" spans="1:12" s="374" customFormat="1" ht="15.75" thickBot="1" x14ac:dyDescent="0.3">
      <c r="A21" s="275" t="s">
        <v>32</v>
      </c>
      <c r="B21" s="276" t="s">
        <v>313</v>
      </c>
      <c r="C21" s="370" t="s">
        <v>311</v>
      </c>
      <c r="D21" s="370">
        <v>1</v>
      </c>
      <c r="E21" s="371" t="s">
        <v>33</v>
      </c>
      <c r="F21" s="370"/>
      <c r="G21" s="372">
        <v>44780000</v>
      </c>
      <c r="H21" s="373">
        <f t="shared" si="1"/>
        <v>44780000</v>
      </c>
      <c r="I21" s="373">
        <f t="shared" si="0"/>
        <v>8956000</v>
      </c>
      <c r="J21" s="279"/>
      <c r="K21" s="279"/>
    </row>
    <row r="22" spans="1:12" s="374" customFormat="1" ht="15.75" thickBot="1" x14ac:dyDescent="0.3">
      <c r="A22" s="375" t="s">
        <v>32</v>
      </c>
      <c r="B22" s="371" t="s">
        <v>313</v>
      </c>
      <c r="C22" s="370" t="s">
        <v>312</v>
      </c>
      <c r="D22" s="370">
        <v>1</v>
      </c>
      <c r="E22" s="371" t="s">
        <v>33</v>
      </c>
      <c r="F22" s="370"/>
      <c r="G22" s="372">
        <v>44780000</v>
      </c>
      <c r="H22" s="373">
        <f t="shared" ref="H22" si="2">G22*D22</f>
        <v>44780000</v>
      </c>
      <c r="I22" s="373">
        <f t="shared" si="0"/>
        <v>8956000</v>
      </c>
      <c r="J22" s="279"/>
      <c r="K22" s="279"/>
    </row>
    <row r="23" spans="1:12" ht="15.75" thickBot="1" x14ac:dyDescent="0.3">
      <c r="A23" s="26" t="s">
        <v>36</v>
      </c>
      <c r="B23" s="27" t="s">
        <v>28</v>
      </c>
      <c r="C23" s="28" t="s">
        <v>16</v>
      </c>
      <c r="D23" s="27">
        <v>1</v>
      </c>
      <c r="E23" s="27"/>
      <c r="F23" s="27" t="s">
        <v>52</v>
      </c>
      <c r="G23" s="29">
        <v>2117060</v>
      </c>
      <c r="H23" s="30">
        <f t="shared" si="1"/>
        <v>2117060</v>
      </c>
      <c r="I23" s="30">
        <f t="shared" si="0"/>
        <v>423412</v>
      </c>
      <c r="J23" s="8"/>
      <c r="K23" s="8"/>
    </row>
    <row r="24" spans="1:12" x14ac:dyDescent="0.25">
      <c r="A24" s="16" t="s">
        <v>45</v>
      </c>
      <c r="B24" s="17" t="s">
        <v>50</v>
      </c>
      <c r="C24" s="17" t="s">
        <v>20</v>
      </c>
      <c r="D24" s="17">
        <v>1</v>
      </c>
      <c r="E24" s="17"/>
      <c r="F24" s="17" t="s">
        <v>52</v>
      </c>
      <c r="G24" s="31">
        <v>30882408.075396195</v>
      </c>
      <c r="H24" s="19">
        <f t="shared" si="1"/>
        <v>30882408.075396195</v>
      </c>
      <c r="I24" s="19">
        <f t="shared" si="0"/>
        <v>6176481.615079239</v>
      </c>
      <c r="J24" s="8"/>
      <c r="K24" s="8"/>
    </row>
    <row r="25" spans="1:12" ht="15.75" thickBot="1" x14ac:dyDescent="0.3">
      <c r="A25" s="22" t="s">
        <v>45</v>
      </c>
      <c r="B25" s="23" t="s">
        <v>50</v>
      </c>
      <c r="C25" s="23" t="s">
        <v>17</v>
      </c>
      <c r="D25" s="23">
        <v>1</v>
      </c>
      <c r="E25" s="23"/>
      <c r="F25" s="23" t="s">
        <v>52</v>
      </c>
      <c r="G25" s="32">
        <v>30882408.075396195</v>
      </c>
      <c r="H25" s="25">
        <f t="shared" si="1"/>
        <v>30882408.075396195</v>
      </c>
      <c r="I25" s="25">
        <f t="shared" si="0"/>
        <v>6176481.615079239</v>
      </c>
      <c r="J25" s="8"/>
      <c r="K25" s="8"/>
    </row>
    <row r="26" spans="1:12" x14ac:dyDescent="0.25">
      <c r="A26" s="16" t="s">
        <v>38</v>
      </c>
      <c r="B26" s="17" t="s">
        <v>26</v>
      </c>
      <c r="C26" s="17" t="s">
        <v>21</v>
      </c>
      <c r="D26" s="17">
        <v>1</v>
      </c>
      <c r="E26" s="17"/>
      <c r="F26" s="17" t="s">
        <v>52</v>
      </c>
      <c r="G26" s="31">
        <v>1450345.56</v>
      </c>
      <c r="H26" s="19">
        <f t="shared" si="1"/>
        <v>1450345.56</v>
      </c>
      <c r="I26" s="19">
        <f t="shared" si="0"/>
        <v>290069.11200000002</v>
      </c>
      <c r="J26" s="8"/>
      <c r="K26" s="8"/>
    </row>
    <row r="27" spans="1:12" ht="15.75" thickBot="1" x14ac:dyDescent="0.3">
      <c r="A27" s="22" t="s">
        <v>39</v>
      </c>
      <c r="B27" s="23" t="s">
        <v>27</v>
      </c>
      <c r="C27" s="23" t="s">
        <v>22</v>
      </c>
      <c r="D27" s="23">
        <v>1</v>
      </c>
      <c r="E27" s="23"/>
      <c r="F27" s="23" t="s">
        <v>52</v>
      </c>
      <c r="G27" s="32">
        <v>2783774.59</v>
      </c>
      <c r="H27" s="25">
        <f t="shared" si="1"/>
        <v>2783774.59</v>
      </c>
      <c r="I27" s="25">
        <f t="shared" si="0"/>
        <v>556754.91799999995</v>
      </c>
      <c r="J27" s="8"/>
      <c r="K27" s="8"/>
    </row>
    <row r="28" spans="1:12" x14ac:dyDescent="0.25">
      <c r="A28" s="33" t="s">
        <v>46</v>
      </c>
      <c r="B28" s="34" t="s">
        <v>47</v>
      </c>
      <c r="C28" s="17" t="s">
        <v>18</v>
      </c>
      <c r="D28" s="34">
        <v>1</v>
      </c>
      <c r="E28" s="34"/>
      <c r="F28" s="34" t="s">
        <v>54</v>
      </c>
      <c r="G28" s="35">
        <v>21823391</v>
      </c>
      <c r="H28" s="36">
        <f>G28*D28</f>
        <v>21823391</v>
      </c>
      <c r="I28" s="36">
        <f t="shared" si="0"/>
        <v>4364678.2</v>
      </c>
      <c r="J28" s="8"/>
      <c r="K28" s="8"/>
    </row>
    <row r="29" spans="1:12" ht="15.75" thickBot="1" x14ac:dyDescent="0.3">
      <c r="A29" s="37" t="s">
        <v>46</v>
      </c>
      <c r="B29" s="38" t="s">
        <v>47</v>
      </c>
      <c r="C29" s="23" t="s">
        <v>19</v>
      </c>
      <c r="D29" s="38">
        <v>1</v>
      </c>
      <c r="E29" s="38"/>
      <c r="F29" s="38" t="s">
        <v>54</v>
      </c>
      <c r="G29" s="39">
        <v>21823391</v>
      </c>
      <c r="H29" s="40">
        <f>G29*D29</f>
        <v>21823391</v>
      </c>
      <c r="I29" s="40">
        <f t="shared" si="0"/>
        <v>4364678.2</v>
      </c>
      <c r="J29" s="8"/>
      <c r="K29" s="8"/>
    </row>
    <row r="30" spans="1:12" x14ac:dyDescent="0.25">
      <c r="A30" s="16" t="s">
        <v>35</v>
      </c>
      <c r="B30" s="17" t="s">
        <v>51</v>
      </c>
      <c r="C30" s="17" t="s">
        <v>23</v>
      </c>
      <c r="D30" s="17">
        <v>1</v>
      </c>
      <c r="E30" s="17"/>
      <c r="F30" s="41" t="s">
        <v>55</v>
      </c>
      <c r="G30" s="31">
        <v>281830665</v>
      </c>
      <c r="H30" s="36">
        <f t="shared" ref="H30:H32" si="3">G30*D30</f>
        <v>281830665</v>
      </c>
      <c r="I30" s="36">
        <f t="shared" si="0"/>
        <v>56366133</v>
      </c>
      <c r="K30" s="10"/>
    </row>
    <row r="31" spans="1:12" x14ac:dyDescent="0.25">
      <c r="A31" s="20" t="s">
        <v>70</v>
      </c>
      <c r="B31" s="1" t="s">
        <v>25</v>
      </c>
      <c r="C31" s="1"/>
      <c r="D31" s="1">
        <v>24</v>
      </c>
      <c r="E31" s="1"/>
      <c r="F31" s="4"/>
      <c r="G31" s="11">
        <v>6338248</v>
      </c>
      <c r="H31" s="43">
        <f t="shared" si="3"/>
        <v>152117952</v>
      </c>
      <c r="I31" s="43">
        <f t="shared" si="0"/>
        <v>30423590.399999999</v>
      </c>
      <c r="K31" s="10"/>
    </row>
    <row r="32" spans="1:12" x14ac:dyDescent="0.25">
      <c r="A32" s="42" t="s">
        <v>70</v>
      </c>
      <c r="B32" s="2" t="s">
        <v>30</v>
      </c>
      <c r="C32" s="1"/>
      <c r="D32" s="2">
        <v>72</v>
      </c>
      <c r="E32" s="2"/>
      <c r="F32" s="4"/>
      <c r="G32" s="13">
        <v>1069123</v>
      </c>
      <c r="H32" s="43">
        <f t="shared" si="3"/>
        <v>76976856</v>
      </c>
      <c r="I32" s="43">
        <f t="shared" si="0"/>
        <v>15395371.199999999</v>
      </c>
      <c r="K32" s="12"/>
      <c r="L32" s="6"/>
    </row>
    <row r="33" spans="1:12" ht="15.75" thickBot="1" x14ac:dyDescent="0.3">
      <c r="A33" s="265" t="s">
        <v>70</v>
      </c>
      <c r="B33" s="266" t="s">
        <v>29</v>
      </c>
      <c r="C33" s="266"/>
      <c r="D33" s="266">
        <v>16</v>
      </c>
      <c r="E33" s="266"/>
      <c r="F33" s="267"/>
      <c r="G33" s="268">
        <v>1820235</v>
      </c>
      <c r="H33" s="269">
        <f t="shared" ref="H33:H41" si="4">G33*D33</f>
        <v>29123760</v>
      </c>
      <c r="I33" s="269">
        <f t="shared" si="0"/>
        <v>5824752</v>
      </c>
    </row>
    <row r="34" spans="1:12" s="374" customFormat="1" ht="15.75" thickBot="1" x14ac:dyDescent="0.3">
      <c r="A34" s="376" t="s">
        <v>70</v>
      </c>
      <c r="B34" s="377" t="s">
        <v>317</v>
      </c>
      <c r="C34" s="377"/>
      <c r="D34" s="377">
        <v>40</v>
      </c>
      <c r="E34" s="377"/>
      <c r="F34" s="378"/>
      <c r="G34" s="379">
        <v>4409392</v>
      </c>
      <c r="H34" s="380">
        <f t="shared" si="4"/>
        <v>176375680</v>
      </c>
      <c r="I34" s="381">
        <f t="shared" si="0"/>
        <v>35275136</v>
      </c>
    </row>
    <row r="35" spans="1:12" s="374" customFormat="1" ht="15.75" thickBot="1" x14ac:dyDescent="0.3">
      <c r="A35" s="376" t="s">
        <v>70</v>
      </c>
      <c r="B35" s="276" t="s">
        <v>318</v>
      </c>
      <c r="C35" s="276"/>
      <c r="D35" s="276">
        <v>8</v>
      </c>
      <c r="E35" s="276"/>
      <c r="F35" s="382"/>
      <c r="G35" s="383">
        <v>8392310</v>
      </c>
      <c r="H35" s="384">
        <f t="shared" si="4"/>
        <v>67138480</v>
      </c>
      <c r="I35" s="385">
        <f t="shared" si="0"/>
        <v>13427696</v>
      </c>
    </row>
    <row r="36" spans="1:12" s="374" customFormat="1" x14ac:dyDescent="0.25">
      <c r="A36" s="376" t="s">
        <v>70</v>
      </c>
      <c r="B36" s="276" t="s">
        <v>319</v>
      </c>
      <c r="C36" s="276"/>
      <c r="D36" s="276">
        <v>8</v>
      </c>
      <c r="E36" s="276"/>
      <c r="F36" s="382"/>
      <c r="G36" s="383">
        <v>3808628</v>
      </c>
      <c r="H36" s="384">
        <f t="shared" si="4"/>
        <v>30469024</v>
      </c>
      <c r="I36" s="385">
        <f t="shared" si="0"/>
        <v>6093804.7999999998</v>
      </c>
    </row>
    <row r="37" spans="1:12" s="374" customFormat="1" ht="15.75" thickBot="1" x14ac:dyDescent="0.3">
      <c r="A37" s="375" t="s">
        <v>315</v>
      </c>
      <c r="B37" s="371" t="s">
        <v>320</v>
      </c>
      <c r="C37" s="371"/>
      <c r="D37" s="371">
        <v>2</v>
      </c>
      <c r="E37" s="371"/>
      <c r="F37" s="386"/>
      <c r="G37" s="387">
        <v>11010524.68</v>
      </c>
      <c r="H37" s="388">
        <f t="shared" si="4"/>
        <v>22021049.359999999</v>
      </c>
      <c r="I37" s="389">
        <f t="shared" si="0"/>
        <v>4404209.8719999995</v>
      </c>
    </row>
    <row r="38" spans="1:12" x14ac:dyDescent="0.25">
      <c r="A38" s="270" t="s">
        <v>43</v>
      </c>
      <c r="B38" s="271" t="s">
        <v>44</v>
      </c>
      <c r="C38" s="272" t="s">
        <v>60</v>
      </c>
      <c r="D38" s="271">
        <v>1</v>
      </c>
      <c r="E38" s="271"/>
      <c r="F38" s="273" t="s">
        <v>58</v>
      </c>
      <c r="G38" s="274">
        <v>76088422.747678876</v>
      </c>
      <c r="H38" s="87">
        <f t="shared" si="4"/>
        <v>76088422.747678876</v>
      </c>
      <c r="I38" s="87">
        <f t="shared" si="0"/>
        <v>15217684.549535776</v>
      </c>
      <c r="K38" s="6"/>
    </row>
    <row r="39" spans="1:12" x14ac:dyDescent="0.25">
      <c r="A39" s="270" t="s">
        <v>43</v>
      </c>
      <c r="B39" s="271" t="s">
        <v>44</v>
      </c>
      <c r="C39" s="5" t="s">
        <v>59</v>
      </c>
      <c r="D39" s="2">
        <v>1</v>
      </c>
      <c r="E39" s="2"/>
      <c r="F39" s="4" t="s">
        <v>58</v>
      </c>
      <c r="G39" s="11">
        <v>76088422.747678876</v>
      </c>
      <c r="H39" s="48">
        <f t="shared" si="4"/>
        <v>76088422.747678876</v>
      </c>
      <c r="I39" s="48">
        <f t="shared" si="0"/>
        <v>15217684.549535776</v>
      </c>
      <c r="K39" s="6"/>
      <c r="L39" s="6"/>
    </row>
    <row r="40" spans="1:12" x14ac:dyDescent="0.25">
      <c r="A40" s="20"/>
      <c r="B40" s="1" t="s">
        <v>49</v>
      </c>
      <c r="C40" s="1"/>
      <c r="D40" s="1">
        <v>16</v>
      </c>
      <c r="E40" s="1"/>
      <c r="F40" s="4" t="s">
        <v>58</v>
      </c>
      <c r="G40" s="11">
        <v>4031448.0768661685</v>
      </c>
      <c r="H40" s="48">
        <f t="shared" si="4"/>
        <v>64503169.229858696</v>
      </c>
      <c r="I40" s="48">
        <f t="shared" si="0"/>
        <v>12900633.845971739</v>
      </c>
      <c r="K40" s="6"/>
      <c r="L40" s="6"/>
    </row>
    <row r="41" spans="1:12" ht="15.75" thickBot="1" x14ac:dyDescent="0.3">
      <c r="A41" s="22"/>
      <c r="B41" s="23" t="s">
        <v>48</v>
      </c>
      <c r="C41" s="23"/>
      <c r="D41" s="23">
        <v>4</v>
      </c>
      <c r="E41" s="23"/>
      <c r="F41" s="38" t="s">
        <v>58</v>
      </c>
      <c r="G41" s="45">
        <v>3160031.5414798525</v>
      </c>
      <c r="H41" s="49">
        <f t="shared" si="4"/>
        <v>12640126.16591941</v>
      </c>
      <c r="I41" s="49">
        <f t="shared" si="0"/>
        <v>2528025.2331838822</v>
      </c>
      <c r="K41" s="6"/>
      <c r="L41" s="6"/>
    </row>
    <row r="42" spans="1:12" x14ac:dyDescent="0.25">
      <c r="A42" s="51" t="s">
        <v>63</v>
      </c>
      <c r="B42" s="52" t="s">
        <v>64</v>
      </c>
      <c r="C42" s="52"/>
      <c r="D42" s="52">
        <v>32</v>
      </c>
      <c r="E42" s="52"/>
      <c r="F42" s="53"/>
      <c r="G42" s="54">
        <v>4470508</v>
      </c>
      <c r="H42" s="55">
        <f t="shared" ref="H42:H45" si="5">G42*D42</f>
        <v>143056256</v>
      </c>
      <c r="I42" s="55">
        <f t="shared" si="0"/>
        <v>28611251.199999999</v>
      </c>
      <c r="L42" s="6"/>
    </row>
    <row r="43" spans="1:12" x14ac:dyDescent="0.25">
      <c r="A43" s="56" t="s">
        <v>63</v>
      </c>
      <c r="B43" s="57" t="s">
        <v>65</v>
      </c>
      <c r="C43" s="57"/>
      <c r="D43" s="57">
        <v>16</v>
      </c>
      <c r="E43" s="57"/>
      <c r="F43" s="58"/>
      <c r="G43" s="59">
        <v>6624144</v>
      </c>
      <c r="H43" s="60">
        <f t="shared" si="5"/>
        <v>105986304</v>
      </c>
      <c r="I43" s="264">
        <f t="shared" si="0"/>
        <v>21197260.800000001</v>
      </c>
      <c r="L43" s="6"/>
    </row>
    <row r="44" spans="1:12" s="374" customFormat="1" x14ac:dyDescent="0.25">
      <c r="A44" s="275" t="s">
        <v>63</v>
      </c>
      <c r="B44" s="276" t="s">
        <v>314</v>
      </c>
      <c r="C44" s="390"/>
      <c r="D44" s="390">
        <v>2</v>
      </c>
      <c r="E44" s="390"/>
      <c r="F44" s="391"/>
      <c r="G44" s="392">
        <v>19404650</v>
      </c>
      <c r="H44" s="393">
        <f t="shared" si="5"/>
        <v>38809300</v>
      </c>
      <c r="I44" s="393">
        <f t="shared" si="0"/>
        <v>7761860</v>
      </c>
      <c r="L44" s="14"/>
    </row>
    <row r="45" spans="1:12" ht="15.75" thickBot="1" x14ac:dyDescent="0.3">
      <c r="A45" s="61" t="s">
        <v>63</v>
      </c>
      <c r="B45" s="62" t="s">
        <v>66</v>
      </c>
      <c r="C45" s="63"/>
      <c r="D45" s="62">
        <v>16</v>
      </c>
      <c r="E45" s="63"/>
      <c r="F45" s="63"/>
      <c r="G45" s="64">
        <v>9961297</v>
      </c>
      <c r="H45" s="65">
        <f t="shared" si="5"/>
        <v>159380752</v>
      </c>
      <c r="I45" s="65">
        <f t="shared" si="0"/>
        <v>31876150.399999999</v>
      </c>
      <c r="K45" s="6"/>
    </row>
    <row r="46" spans="1:12" ht="15.75" thickBot="1" x14ac:dyDescent="0.3">
      <c r="G46" s="67" t="s">
        <v>67</v>
      </c>
      <c r="H46" s="68">
        <f>SUM(H2:H45)</f>
        <v>2010040523.3710797</v>
      </c>
      <c r="I46" s="68">
        <f t="shared" si="0"/>
        <v>402008104.67421591</v>
      </c>
      <c r="K46" s="7"/>
      <c r="L46" s="6"/>
    </row>
    <row r="47" spans="1:12" x14ac:dyDescent="0.25">
      <c r="H47" s="91"/>
      <c r="I47" s="91"/>
      <c r="L47" s="14"/>
    </row>
    <row r="48" spans="1:12" ht="15.75" thickBot="1" x14ac:dyDescent="0.3">
      <c r="C48" s="3">
        <v>2013</v>
      </c>
      <c r="D48" s="92">
        <v>2018</v>
      </c>
      <c r="G48" s="75" t="s">
        <v>89</v>
      </c>
      <c r="H48" s="65">
        <f>+H46/I48</f>
        <v>402008104.67421591</v>
      </c>
      <c r="I48" s="65">
        <v>5</v>
      </c>
      <c r="J48" s="3" t="s">
        <v>90</v>
      </c>
    </row>
    <row r="49" spans="7:12" x14ac:dyDescent="0.25">
      <c r="G49" s="75"/>
      <c r="L49" s="6"/>
    </row>
  </sheetData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opLeftCell="A8" workbookViewId="0">
      <selection activeCell="B27" sqref="B27"/>
    </sheetView>
  </sheetViews>
  <sheetFormatPr baseColWidth="10" defaultRowHeight="15" x14ac:dyDescent="0.25"/>
  <cols>
    <col min="1" max="1" width="37.5703125" bestFit="1" customWidth="1"/>
    <col min="2" max="2" width="27" bestFit="1" customWidth="1"/>
    <col min="3" max="3" width="20.42578125" bestFit="1" customWidth="1"/>
    <col min="4" max="4" width="18.42578125" bestFit="1" customWidth="1"/>
    <col min="5" max="5" width="20.5703125" bestFit="1" customWidth="1"/>
    <col min="6" max="6" width="19.28515625" bestFit="1" customWidth="1"/>
    <col min="7" max="7" width="19.28515625" customWidth="1"/>
    <col min="8" max="8" width="14" bestFit="1" customWidth="1"/>
  </cols>
  <sheetData>
    <row r="1" spans="1:8" x14ac:dyDescent="0.25">
      <c r="A1" s="99" t="s">
        <v>114</v>
      </c>
      <c r="B1" s="71">
        <v>5</v>
      </c>
    </row>
    <row r="2" spans="1:8" x14ac:dyDescent="0.25">
      <c r="A2" s="99" t="s">
        <v>115</v>
      </c>
      <c r="B2" s="71">
        <v>2</v>
      </c>
    </row>
    <row r="3" spans="1:8" x14ac:dyDescent="0.25">
      <c r="A3" s="100" t="s">
        <v>99</v>
      </c>
      <c r="B3" s="100" t="s">
        <v>279</v>
      </c>
      <c r="C3" s="100" t="s">
        <v>119</v>
      </c>
      <c r="D3" s="100" t="s">
        <v>120</v>
      </c>
      <c r="E3" s="108" t="s">
        <v>283</v>
      </c>
      <c r="F3" s="108" t="s">
        <v>113</v>
      </c>
      <c r="G3" s="108" t="s">
        <v>121</v>
      </c>
      <c r="H3" s="107" t="s">
        <v>111</v>
      </c>
    </row>
    <row r="4" spans="1:8" ht="16.5" x14ac:dyDescent="0.25">
      <c r="A4" s="93" t="s">
        <v>323</v>
      </c>
      <c r="B4" s="71">
        <v>3</v>
      </c>
      <c r="C4" s="94">
        <f>+$B$23</f>
        <v>7613874</v>
      </c>
      <c r="D4" s="98">
        <f t="shared" ref="D4:D17" si="0">+C4/$B$1</f>
        <v>1522774.8</v>
      </c>
      <c r="E4" s="98">
        <f>((SUM(CLIENTES!$C$2:$C$6)+CLIENTES!$C$16+CLIENTES!$C$17)+((SUM(CLIENTES!$C$2:$C$6)+CLIENTES!$C$15+CLIENTES!$C$16+CLIENTES!$C$17)*(CLIENTES!$B$18)))+CLIENTES!C10+CLIENTES!C13</f>
        <v>13416235.4</v>
      </c>
      <c r="F4" s="98">
        <f>+E4*B4</f>
        <v>40248706.200000003</v>
      </c>
      <c r="G4" s="98">
        <f>+F4/$B$2</f>
        <v>20124353.100000001</v>
      </c>
      <c r="H4" s="98">
        <f t="shared" ref="H4:H18" si="1">+D4+G4</f>
        <v>21647127.900000002</v>
      </c>
    </row>
    <row r="5" spans="1:8" ht="16.5" x14ac:dyDescent="0.25">
      <c r="A5" s="93" t="s">
        <v>324</v>
      </c>
      <c r="B5" s="71">
        <v>1</v>
      </c>
      <c r="C5" s="94">
        <f>+$B$22</f>
        <v>1738061</v>
      </c>
      <c r="D5" s="98">
        <f t="shared" ref="D5" si="2">+C5/$B$1</f>
        <v>347612.2</v>
      </c>
      <c r="E5" s="98">
        <f>((SUM(CLIENTES!$C$2:$C$6)+CLIENTES!$C$16+CLIENTES!$C$17)+((SUM(CLIENTES!$C$2:$C$6)+CLIENTES!$C$15+CLIENTES!$C$16+CLIENTES!$C$17)*(CLIENTES!$B$18)))+CLIENTES!C11+CLIENTES!C14</f>
        <v>4106550.4</v>
      </c>
      <c r="F5" s="98">
        <f>+E5*B5</f>
        <v>4106550.4</v>
      </c>
      <c r="G5" s="98">
        <f>+F5/$B$2</f>
        <v>2053275.2</v>
      </c>
      <c r="H5" s="98">
        <f t="shared" ref="H5" si="3">+D5+G5</f>
        <v>2400887.4</v>
      </c>
    </row>
    <row r="6" spans="1:8" ht="16.5" x14ac:dyDescent="0.25">
      <c r="A6" s="93" t="s">
        <v>95</v>
      </c>
      <c r="B6" s="71">
        <v>35</v>
      </c>
      <c r="C6" s="94">
        <f>+$B$23</f>
        <v>7613874</v>
      </c>
      <c r="D6" s="98">
        <f t="shared" si="0"/>
        <v>1522774.8</v>
      </c>
      <c r="E6" s="98">
        <f>((SUM(CLIENTES!$C$2:$C$6)+CLIENTES!$C$16+CLIENTES!$C$17)+((SUM(CLIENTES!$C$2:$C$6)+CLIENTES!$C$15+CLIENTES!$C$16+CLIENTES!$C$17)*(CLIENTES!$B$18)))+CLIENTES!C12</f>
        <v>3470919.4</v>
      </c>
      <c r="F6" s="98">
        <f t="shared" ref="F6:F17" si="4">+E6*B6</f>
        <v>121482179</v>
      </c>
      <c r="G6" s="98">
        <f t="shared" ref="G6:G17" si="5">+F6/$B$2</f>
        <v>60741089.5</v>
      </c>
      <c r="H6" s="98">
        <f t="shared" si="1"/>
        <v>62263864.299999997</v>
      </c>
    </row>
    <row r="7" spans="1:8" ht="16.5" x14ac:dyDescent="0.25">
      <c r="A7" s="93" t="s">
        <v>95</v>
      </c>
      <c r="B7" s="71">
        <v>1</v>
      </c>
      <c r="C7" s="94">
        <f t="shared" ref="C7:C16" si="6">+$B$22</f>
        <v>1738061</v>
      </c>
      <c r="D7" s="98">
        <f t="shared" ref="D7" si="7">+C7/$B$1</f>
        <v>347612.2</v>
      </c>
      <c r="E7" s="98">
        <f>((SUM(CLIENTES!$C$2:$C$6)+CLIENTES!$C$16+CLIENTES!$C$17)+((SUM(CLIENTES!$C$2:$C$6)+CLIENTES!$C$15+CLIENTES!$C$16+CLIENTES!$C$17)*(CLIENTES!$B$18)))+CLIENTES!C13</f>
        <v>12198981.4</v>
      </c>
      <c r="F7" s="98">
        <f t="shared" ref="F7" si="8">+E7*B7</f>
        <v>12198981.4</v>
      </c>
      <c r="G7" s="98">
        <f t="shared" ref="G7" si="9">+F7/$B$2</f>
        <v>6099490.7000000002</v>
      </c>
      <c r="H7" s="98">
        <f t="shared" ref="H7" si="10">+D7+G7</f>
        <v>6447102.9000000004</v>
      </c>
    </row>
    <row r="8" spans="1:8" ht="16.5" x14ac:dyDescent="0.25">
      <c r="A8" s="93" t="s">
        <v>277</v>
      </c>
      <c r="B8" s="71">
        <v>1</v>
      </c>
      <c r="C8" s="94">
        <f t="shared" si="6"/>
        <v>1738061</v>
      </c>
      <c r="D8" s="98">
        <f t="shared" si="0"/>
        <v>347612.2</v>
      </c>
      <c r="E8" s="98">
        <f>((SUM(CLIENTES!$C$2:$C$6)+CLIENTES!$C$16+CLIENTES!$C$17)+((SUM(CLIENTES!$C$2:$C$6)+CLIENTES!$C$15+CLIENTES!$C$16+CLIENTES!$C$17)*(CLIENTES!$B$18)))+CLIENTES!C10+CLIENTES!C13</f>
        <v>13416235.4</v>
      </c>
      <c r="F8" s="98">
        <f t="shared" si="4"/>
        <v>13416235.4</v>
      </c>
      <c r="G8" s="98">
        <f t="shared" si="5"/>
        <v>6708117.7000000002</v>
      </c>
      <c r="H8" s="98">
        <f t="shared" si="1"/>
        <v>7055729.9000000004</v>
      </c>
    </row>
    <row r="9" spans="1:8" ht="16.5" x14ac:dyDescent="0.25">
      <c r="A9" s="93" t="s">
        <v>96</v>
      </c>
      <c r="B9" s="71">
        <v>1</v>
      </c>
      <c r="C9" s="94">
        <f t="shared" si="6"/>
        <v>1738061</v>
      </c>
      <c r="D9" s="98">
        <f t="shared" si="0"/>
        <v>347612.2</v>
      </c>
      <c r="E9" s="98">
        <f>(SUM(CLIENTES!$C$2:$C$6)+CLIENTES!$C$16+CLIENTES!$C$17)+((SUM(CLIENTES!$C$2:$C$6)+CLIENTES!$C$15+CLIENTES!$C$16+CLIENTES!$C$17)*(CLIENTES!$B$18))+CLIENTES!C13</f>
        <v>12198981.4</v>
      </c>
      <c r="F9" s="98">
        <f t="shared" si="4"/>
        <v>12198981.4</v>
      </c>
      <c r="G9" s="98">
        <f t="shared" si="5"/>
        <v>6099490.7000000002</v>
      </c>
      <c r="H9" s="98">
        <f t="shared" si="1"/>
        <v>6447102.9000000004</v>
      </c>
    </row>
    <row r="10" spans="1:8" ht="16.5" x14ac:dyDescent="0.25">
      <c r="A10" s="93" t="s">
        <v>106</v>
      </c>
      <c r="B10" s="71">
        <v>4</v>
      </c>
      <c r="C10" s="94">
        <f t="shared" si="6"/>
        <v>1738061</v>
      </c>
      <c r="D10" s="98">
        <f t="shared" si="0"/>
        <v>347612.2</v>
      </c>
      <c r="E10" s="98">
        <f>(SUM(CLIENTES!$C$2:$C$6)+CLIENTES!$C$16+CLIENTES!$C$17)+((SUM(CLIENTES!$C$2:$C$6)+CLIENTES!$C$15+CLIENTES!$C$16+CLIENTES!$C$17)*(CLIENTES!$B$18))+CLIENTES!C13</f>
        <v>12198981.4</v>
      </c>
      <c r="F10" s="98">
        <f t="shared" si="4"/>
        <v>48795925.600000001</v>
      </c>
      <c r="G10" s="98">
        <f t="shared" si="5"/>
        <v>24397962.800000001</v>
      </c>
      <c r="H10" s="98">
        <f t="shared" si="1"/>
        <v>24745575</v>
      </c>
    </row>
    <row r="11" spans="1:8" ht="16.5" x14ac:dyDescent="0.25">
      <c r="A11" s="93" t="s">
        <v>107</v>
      </c>
      <c r="B11" s="71">
        <v>4</v>
      </c>
      <c r="C11" s="94">
        <f t="shared" si="6"/>
        <v>1738061</v>
      </c>
      <c r="D11" s="98">
        <f t="shared" si="0"/>
        <v>347612.2</v>
      </c>
      <c r="E11" s="98">
        <f>(SUM(CLIENTES!$C$2:$C$6)+CLIENTES!$C$16+CLIENTES!$C$17)+((SUM(CLIENTES!$C$2:$C$6)+CLIENTES!$C$15+CLIENTES!$C$16+CLIENTES!$C$17)*(CLIENTES!$B$18))+CLIENTES!C14</f>
        <v>3481720.4</v>
      </c>
      <c r="F11" s="98">
        <f t="shared" si="4"/>
        <v>13926881.6</v>
      </c>
      <c r="G11" s="98">
        <f t="shared" si="5"/>
        <v>6963440.7999999998</v>
      </c>
      <c r="H11" s="98">
        <f t="shared" si="1"/>
        <v>7311053</v>
      </c>
    </row>
    <row r="12" spans="1:8" ht="16.5" x14ac:dyDescent="0.25">
      <c r="A12" s="93" t="s">
        <v>281</v>
      </c>
      <c r="B12" s="71">
        <v>1</v>
      </c>
      <c r="C12" s="94">
        <f t="shared" si="6"/>
        <v>1738061</v>
      </c>
      <c r="D12" s="98">
        <f t="shared" si="0"/>
        <v>347612.2</v>
      </c>
      <c r="E12" s="98">
        <f>(SUM(CLIENTES!$C$2:$C$6)+CLIENTES!$C$16+CLIENTES!$C$17)+((SUM(CLIENTES!$C$2:$C$6)+CLIENTES!$C$15+CLIENTES!$C$16+CLIENTES!$C$17)*(CLIENTES!$B$18))+CLIENTES!C10</f>
        <v>2588512.4</v>
      </c>
      <c r="F12" s="98">
        <f t="shared" si="4"/>
        <v>2588512.4</v>
      </c>
      <c r="G12" s="98">
        <f t="shared" si="5"/>
        <v>1294256.2</v>
      </c>
      <c r="H12" s="98">
        <f t="shared" ref="H12" si="11">+D12+G12</f>
        <v>1641868.4</v>
      </c>
    </row>
    <row r="13" spans="1:8" ht="16.5" x14ac:dyDescent="0.25">
      <c r="A13" s="93" t="s">
        <v>97</v>
      </c>
      <c r="B13" s="71">
        <v>3</v>
      </c>
      <c r="C13" s="94">
        <f t="shared" si="6"/>
        <v>1738061</v>
      </c>
      <c r="D13" s="98">
        <f t="shared" si="0"/>
        <v>347612.2</v>
      </c>
      <c r="E13" s="98">
        <f>(SUM(CLIENTES!$C$2:$C$6)+CLIENTES!$C$16+CLIENTES!$C$17)+((SUM(CLIENTES!$C$2:$C$6)+CLIENTES!$C$15+CLIENTES!$C$16+CLIENTES!$C$17)*(CLIENTES!$B$18))</f>
        <v>1371258.4</v>
      </c>
      <c r="F13" s="98">
        <f t="shared" si="4"/>
        <v>4113775.1999999997</v>
      </c>
      <c r="G13" s="98">
        <f t="shared" si="5"/>
        <v>2056887.5999999999</v>
      </c>
      <c r="H13" s="98">
        <f t="shared" si="1"/>
        <v>2404499.7999999998</v>
      </c>
    </row>
    <row r="14" spans="1:8" ht="16.5" x14ac:dyDescent="0.25">
      <c r="A14" s="93" t="s">
        <v>282</v>
      </c>
      <c r="B14" s="71">
        <v>2</v>
      </c>
      <c r="C14" s="94">
        <f t="shared" si="6"/>
        <v>1738061</v>
      </c>
      <c r="D14" s="98">
        <f t="shared" ref="D14" si="12">+C14/$B$1</f>
        <v>347612.2</v>
      </c>
      <c r="E14" s="98">
        <f>(SUM(CLIENTES!$C$2:$C$6)+CLIENTES!$C$16+CLIENTES!$C$17)+((SUM(CLIENTES!$C$2:$C$6)+CLIENTES!$C$15+CLIENTES!$C$16+CLIENTES!$C$17)*(CLIENTES!$B$18))+CLIENTES!C11</f>
        <v>1996088.4</v>
      </c>
      <c r="F14" s="98">
        <f t="shared" si="4"/>
        <v>3992176.8</v>
      </c>
      <c r="G14" s="98">
        <f t="shared" si="5"/>
        <v>1996088.4</v>
      </c>
      <c r="H14" s="98">
        <f t="shared" ref="H14" si="13">+D14+G14</f>
        <v>2343700.6</v>
      </c>
    </row>
    <row r="15" spans="1:8" ht="16.5" x14ac:dyDescent="0.25">
      <c r="A15" s="93" t="s">
        <v>98</v>
      </c>
      <c r="B15" s="71">
        <v>3</v>
      </c>
      <c r="C15" s="94">
        <f t="shared" si="6"/>
        <v>1738061</v>
      </c>
      <c r="D15" s="98">
        <f t="shared" si="0"/>
        <v>347612.2</v>
      </c>
      <c r="E15" s="98">
        <f>(SUM(CLIENTES!$C$2:$C$6)+CLIENTES!$C$16+CLIENTES!$C$17)+((SUM(CLIENTES!$C$2:$C$6)+CLIENTES!$C$15+CLIENTES!$C$16+CLIENTES!$C$17)*(CLIENTES!$B$18))</f>
        <v>1371258.4</v>
      </c>
      <c r="F15" s="98">
        <f t="shared" si="4"/>
        <v>4113775.1999999997</v>
      </c>
      <c r="G15" s="98">
        <f t="shared" si="5"/>
        <v>2056887.5999999999</v>
      </c>
      <c r="H15" s="98">
        <f t="shared" si="1"/>
        <v>2404499.7999999998</v>
      </c>
    </row>
    <row r="16" spans="1:8" ht="16.5" x14ac:dyDescent="0.25">
      <c r="A16" s="93" t="s">
        <v>276</v>
      </c>
      <c r="B16" s="71">
        <v>1</v>
      </c>
      <c r="C16" s="94">
        <f t="shared" si="6"/>
        <v>1738061</v>
      </c>
      <c r="D16" s="98">
        <f t="shared" si="0"/>
        <v>347612.2</v>
      </c>
      <c r="E16" s="98">
        <f>(SUM(CLIENTES!$C$2:$C$6)+CLIENTES!$C$16+CLIENTES!$C$17)+((SUM(CLIENTES!$C$2:$C$6)+CLIENTES!$C$15+CLIENTES!$C$16+CLIENTES!$C$17)*(CLIENTES!$B$18))</f>
        <v>1371258.4</v>
      </c>
      <c r="F16" s="98">
        <f t="shared" si="4"/>
        <v>1371258.4</v>
      </c>
      <c r="G16" s="98">
        <f t="shared" si="5"/>
        <v>685629.2</v>
      </c>
      <c r="H16" s="98">
        <f t="shared" si="1"/>
        <v>1033241.3999999999</v>
      </c>
    </row>
    <row r="17" spans="1:8" ht="16.5" x14ac:dyDescent="0.25">
      <c r="A17" s="93" t="s">
        <v>105</v>
      </c>
      <c r="B17" s="71">
        <v>2</v>
      </c>
      <c r="C17" s="94">
        <f>+B25</f>
        <v>4903970</v>
      </c>
      <c r="D17" s="98">
        <f t="shared" si="0"/>
        <v>980794</v>
      </c>
      <c r="E17" s="98">
        <f>(SUM(CLIENTES!$C$2:$C$6)+CLIENTES!$C$16+CLIENTES!$C$17)+((SUM(CLIENTES!$C$2:$C$6)+CLIENTES!$C$15+CLIENTES!$C$16+CLIENTES!$C$17)*(CLIENTES!$B$18))+CLIENTES!C13</f>
        <v>12198981.4</v>
      </c>
      <c r="F17" s="98">
        <f t="shared" si="4"/>
        <v>24397962.800000001</v>
      </c>
      <c r="G17" s="98">
        <f t="shared" si="5"/>
        <v>12198981.4</v>
      </c>
      <c r="H17" s="98">
        <f t="shared" si="1"/>
        <v>13179775.4</v>
      </c>
    </row>
    <row r="18" spans="1:8" ht="16.5" x14ac:dyDescent="0.25">
      <c r="A18" s="101" t="s">
        <v>67</v>
      </c>
      <c r="B18" s="4">
        <f>SUM(B4:B17)</f>
        <v>62</v>
      </c>
      <c r="C18" s="4"/>
      <c r="D18" s="110">
        <f>SUM(D4:D17)</f>
        <v>7850077.8000000017</v>
      </c>
      <c r="E18" s="102">
        <f>SUM(E4:E17)</f>
        <v>95385962.600000039</v>
      </c>
      <c r="F18" s="102">
        <f>SUM(F4:F17)</f>
        <v>306951901.79999995</v>
      </c>
      <c r="G18" s="109">
        <f t="shared" ref="G18" si="14">+E18/$B$2</f>
        <v>47692981.300000019</v>
      </c>
      <c r="H18" s="115">
        <f t="shared" si="1"/>
        <v>55543059.100000024</v>
      </c>
    </row>
    <row r="19" spans="1:8" ht="16.5" x14ac:dyDescent="0.25">
      <c r="A19" s="111"/>
      <c r="B19" s="8"/>
      <c r="C19" s="8"/>
      <c r="D19" s="112"/>
      <c r="E19" s="113"/>
      <c r="F19" s="113"/>
      <c r="G19" s="114"/>
      <c r="H19" s="114"/>
    </row>
    <row r="21" spans="1:8" x14ac:dyDescent="0.25">
      <c r="A21" s="103" t="s">
        <v>108</v>
      </c>
      <c r="B21" s="103" t="s">
        <v>109</v>
      </c>
      <c r="E21" s="98"/>
      <c r="F21" s="98"/>
    </row>
    <row r="22" spans="1:8" x14ac:dyDescent="0.25">
      <c r="A22" s="104" t="s">
        <v>321</v>
      </c>
      <c r="B22" s="105">
        <v>1738061</v>
      </c>
    </row>
    <row r="23" spans="1:8" x14ac:dyDescent="0.25">
      <c r="A23" s="104" t="s">
        <v>322</v>
      </c>
      <c r="B23" s="282">
        <v>7613874</v>
      </c>
    </row>
    <row r="24" spans="1:8" x14ac:dyDescent="0.25">
      <c r="A24" s="106" t="s">
        <v>112</v>
      </c>
      <c r="B24" s="105"/>
    </row>
    <row r="25" spans="1:8" x14ac:dyDescent="0.25">
      <c r="A25" s="104" t="s">
        <v>110</v>
      </c>
      <c r="B25" s="105">
        <v>4903970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opLeftCell="A25" workbookViewId="0">
      <selection activeCell="A41" sqref="A41:D45"/>
    </sheetView>
  </sheetViews>
  <sheetFormatPr baseColWidth="10" defaultRowHeight="15" x14ac:dyDescent="0.25"/>
  <cols>
    <col min="1" max="1" width="37.42578125" bestFit="1" customWidth="1"/>
    <col min="2" max="2" width="63.7109375" customWidth="1"/>
    <col min="3" max="3" width="18.5703125" style="73" customWidth="1"/>
    <col min="4" max="4" width="33.42578125" bestFit="1" customWidth="1"/>
    <col min="5" max="5" width="15.140625" bestFit="1" customWidth="1"/>
    <col min="6" max="6" width="16.28515625" bestFit="1" customWidth="1"/>
  </cols>
  <sheetData>
    <row r="1" spans="1:6" ht="15.75" thickBot="1" x14ac:dyDescent="0.3">
      <c r="A1" s="83" t="s">
        <v>78</v>
      </c>
      <c r="B1" s="84" t="s">
        <v>71</v>
      </c>
      <c r="C1" s="84" t="s">
        <v>84</v>
      </c>
      <c r="D1" s="85" t="s">
        <v>85</v>
      </c>
    </row>
    <row r="2" spans="1:6" ht="15.75" thickBot="1" x14ac:dyDescent="0.3">
      <c r="A2" s="349" t="s">
        <v>92</v>
      </c>
      <c r="B2" s="350"/>
      <c r="C2" s="350"/>
      <c r="D2" s="351"/>
    </row>
    <row r="3" spans="1:6" x14ac:dyDescent="0.25">
      <c r="A3" s="86" t="s">
        <v>32</v>
      </c>
      <c r="B3" s="81"/>
      <c r="C3" s="82">
        <f>SUM(PlataformaConvergencia!D2:D22)</f>
        <v>21</v>
      </c>
      <c r="D3" s="281">
        <f>SUM(PlataformaConvergencia!I2:I22)</f>
        <v>77134305.1638304</v>
      </c>
    </row>
    <row r="4" spans="1:6" x14ac:dyDescent="0.25">
      <c r="A4" s="42" t="s">
        <v>36</v>
      </c>
      <c r="B4" s="2"/>
      <c r="C4" s="77">
        <v>1</v>
      </c>
      <c r="D4" s="48">
        <f>+PlataformaConvergencia!I23</f>
        <v>423412</v>
      </c>
    </row>
    <row r="5" spans="1:6" x14ac:dyDescent="0.25">
      <c r="A5" s="20" t="s">
        <v>45</v>
      </c>
      <c r="B5" s="1"/>
      <c r="C5" s="78">
        <v>2</v>
      </c>
      <c r="D5" s="48">
        <f>SUM(PlataformaConvergencia!I24:I25)</f>
        <v>12352963.230158478</v>
      </c>
    </row>
    <row r="6" spans="1:6" x14ac:dyDescent="0.25">
      <c r="A6" s="20" t="s">
        <v>38</v>
      </c>
      <c r="B6" s="1"/>
      <c r="C6" s="78">
        <v>1</v>
      </c>
      <c r="D6" s="48">
        <f>+PlataformaConvergencia!I26</f>
        <v>290069.11200000002</v>
      </c>
    </row>
    <row r="7" spans="1:6" x14ac:dyDescent="0.25">
      <c r="A7" s="20" t="s">
        <v>39</v>
      </c>
      <c r="B7" s="1"/>
      <c r="C7" s="78">
        <v>1</v>
      </c>
      <c r="D7" s="48">
        <f>+PlataformaConvergencia!I27</f>
        <v>556754.91799999995</v>
      </c>
    </row>
    <row r="8" spans="1:6" x14ac:dyDescent="0.25">
      <c r="A8" s="42" t="s">
        <v>46</v>
      </c>
      <c r="B8" s="2"/>
      <c r="C8" s="78">
        <v>2</v>
      </c>
      <c r="D8" s="48">
        <f>SUM(PlataformaConvergencia!I28:I29)</f>
        <v>8729356.4000000004</v>
      </c>
    </row>
    <row r="9" spans="1:6" x14ac:dyDescent="0.25">
      <c r="A9" s="20" t="s">
        <v>35</v>
      </c>
      <c r="B9" s="1"/>
      <c r="C9" s="77">
        <v>1</v>
      </c>
      <c r="D9" s="48">
        <f>+PlataformaConvergencia!I30</f>
        <v>56366133</v>
      </c>
    </row>
    <row r="10" spans="1:6" x14ac:dyDescent="0.25">
      <c r="A10" s="20" t="s">
        <v>70</v>
      </c>
      <c r="B10" s="1"/>
      <c r="C10" s="77">
        <f>SUM(PlataformaConvergencia!D31:D33)</f>
        <v>112</v>
      </c>
      <c r="D10" s="48">
        <f>SUM(PlataformaConvergencia!I31:I36)</f>
        <v>106440350.39999999</v>
      </c>
    </row>
    <row r="11" spans="1:6" x14ac:dyDescent="0.25">
      <c r="A11" s="42" t="s">
        <v>315</v>
      </c>
      <c r="B11" s="2"/>
      <c r="C11" s="76">
        <v>1</v>
      </c>
      <c r="D11" s="48">
        <f>+PlataformaConvergencia!I37</f>
        <v>4404209.8719999995</v>
      </c>
    </row>
    <row r="12" spans="1:6" x14ac:dyDescent="0.25">
      <c r="A12" s="42" t="s">
        <v>43</v>
      </c>
      <c r="B12" s="2"/>
      <c r="C12" s="76">
        <v>2</v>
      </c>
      <c r="D12" s="48">
        <f>SUM(PlataformaConvergencia!I38:I39)</f>
        <v>30435369.099071551</v>
      </c>
    </row>
    <row r="13" spans="1:6" x14ac:dyDescent="0.25">
      <c r="A13" s="42" t="s">
        <v>316</v>
      </c>
      <c r="B13" s="2"/>
      <c r="C13" s="76">
        <v>2</v>
      </c>
      <c r="D13" s="48">
        <f>SUM(PlataformaConvergencia!I40:I41)</f>
        <v>15428659.07915562</v>
      </c>
    </row>
    <row r="14" spans="1:6" s="179" customFormat="1" ht="15.75" thickBot="1" x14ac:dyDescent="0.3">
      <c r="A14" s="275" t="s">
        <v>63</v>
      </c>
      <c r="B14" s="276"/>
      <c r="C14" s="277"/>
      <c r="D14" s="278">
        <f>SUM(PlataformaConvergencia!I42:I45)</f>
        <v>89446522.400000006</v>
      </c>
      <c r="E14" s="279"/>
      <c r="F14" s="280"/>
    </row>
    <row r="15" spans="1:6" ht="15.75" thickBot="1" x14ac:dyDescent="0.3">
      <c r="A15" s="358" t="s">
        <v>67</v>
      </c>
      <c r="B15" s="359"/>
      <c r="C15" s="359"/>
      <c r="D15" s="249">
        <f>SUM(D3:D14)</f>
        <v>402008104.67421603</v>
      </c>
      <c r="E15" s="74"/>
      <c r="F15" s="75"/>
    </row>
    <row r="16" spans="1:6" ht="15.75" thickBot="1" x14ac:dyDescent="0.3">
      <c r="A16" s="355" t="s">
        <v>306</v>
      </c>
      <c r="B16" s="356"/>
      <c r="C16" s="356"/>
      <c r="D16" s="357"/>
    </row>
    <row r="17" spans="1:6" x14ac:dyDescent="0.25">
      <c r="A17" s="88" t="s">
        <v>307</v>
      </c>
      <c r="B17" s="71" t="s">
        <v>309</v>
      </c>
      <c r="C17" s="78">
        <f>+SERVERS!C64</f>
        <v>38</v>
      </c>
      <c r="D17" s="60">
        <f>+SERVERS!B66</f>
        <v>64144768</v>
      </c>
    </row>
    <row r="18" spans="1:6" ht="15.75" thickBot="1" x14ac:dyDescent="0.3">
      <c r="A18" s="88" t="s">
        <v>307</v>
      </c>
      <c r="B18" s="71" t="s">
        <v>308</v>
      </c>
      <c r="C18" s="78">
        <f>+SERVERS!C65</f>
        <v>78</v>
      </c>
      <c r="D18" s="60">
        <f>+SERVERS!B67</f>
        <v>599552577</v>
      </c>
    </row>
    <row r="19" spans="1:6" ht="15.75" thickBot="1" x14ac:dyDescent="0.3">
      <c r="A19" s="358" t="s">
        <v>67</v>
      </c>
      <c r="B19" s="359"/>
      <c r="C19" s="359"/>
      <c r="D19" s="249">
        <f>SUM(D17:D18)</f>
        <v>663697345</v>
      </c>
      <c r="E19" s="74"/>
      <c r="F19" s="75"/>
    </row>
    <row r="20" spans="1:6" ht="15.75" thickBot="1" x14ac:dyDescent="0.3">
      <c r="A20" s="355" t="s">
        <v>93</v>
      </c>
      <c r="B20" s="356"/>
      <c r="C20" s="356"/>
      <c r="D20" s="357"/>
    </row>
    <row r="21" spans="1:6" x14ac:dyDescent="0.25">
      <c r="A21" s="88" t="s">
        <v>79</v>
      </c>
      <c r="B21" s="71"/>
      <c r="C21" s="78"/>
      <c r="D21" s="60">
        <f>+ComunicacionesInternas!B2</f>
        <v>386578318.79999995</v>
      </c>
    </row>
    <row r="22" spans="1:6" x14ac:dyDescent="0.25">
      <c r="A22" s="88" t="s">
        <v>80</v>
      </c>
      <c r="B22" s="71"/>
      <c r="C22" s="78"/>
      <c r="D22" s="60">
        <f>+ComunicacionesInternas!B3</f>
        <v>210887049.60000002</v>
      </c>
    </row>
    <row r="23" spans="1:6" x14ac:dyDescent="0.25">
      <c r="A23" s="88" t="s">
        <v>81</v>
      </c>
      <c r="B23" s="71"/>
      <c r="C23" s="78"/>
      <c r="D23" s="60">
        <f>+ComunicacionesInternas!B4</f>
        <v>13651720</v>
      </c>
    </row>
    <row r="24" spans="1:6" ht="15.75" thickBot="1" x14ac:dyDescent="0.3">
      <c r="A24" s="89" t="s">
        <v>82</v>
      </c>
      <c r="B24" s="79"/>
      <c r="C24" s="80"/>
      <c r="D24" s="250">
        <f>+ComunicacionesInternas!B5</f>
        <v>694853</v>
      </c>
    </row>
    <row r="25" spans="1:6" ht="15.75" thickBot="1" x14ac:dyDescent="0.3">
      <c r="A25" s="358" t="s">
        <v>67</v>
      </c>
      <c r="B25" s="359"/>
      <c r="C25" s="359"/>
      <c r="D25" s="249">
        <f>+ComunicacionesInternas!B7</f>
        <v>611811941.39999998</v>
      </c>
      <c r="E25" s="74"/>
      <c r="F25" s="294"/>
    </row>
    <row r="26" spans="1:6" ht="15.75" thickBot="1" x14ac:dyDescent="0.3">
      <c r="A26" s="349" t="s">
        <v>94</v>
      </c>
      <c r="B26" s="350"/>
      <c r="C26" s="350"/>
      <c r="D26" s="351"/>
      <c r="F26" s="293"/>
    </row>
    <row r="27" spans="1:6" x14ac:dyDescent="0.25">
      <c r="A27" s="88" t="s">
        <v>73</v>
      </c>
      <c r="B27" s="71" t="s">
        <v>74</v>
      </c>
      <c r="C27" s="78"/>
      <c r="D27" s="181">
        <f>+'Comunicaciones Externas'!D10</f>
        <v>132999994</v>
      </c>
      <c r="F27" s="293"/>
    </row>
    <row r="28" spans="1:6" ht="15.75" thickBot="1" x14ac:dyDescent="0.3">
      <c r="A28" s="89" t="s">
        <v>122</v>
      </c>
      <c r="B28" s="79" t="s">
        <v>201</v>
      </c>
      <c r="C28" s="80"/>
      <c r="D28" s="251">
        <f>+'Comunicaciones Externas'!D3</f>
        <v>57779136</v>
      </c>
    </row>
    <row r="29" spans="1:6" ht="15.75" thickBot="1" x14ac:dyDescent="0.3">
      <c r="A29" s="358" t="s">
        <v>67</v>
      </c>
      <c r="B29" s="359"/>
      <c r="C29" s="359"/>
      <c r="D29" s="249">
        <f>SUM(D27:D28)</f>
        <v>190779130</v>
      </c>
    </row>
    <row r="30" spans="1:6" ht="15.75" thickBot="1" x14ac:dyDescent="0.3">
      <c r="A30" s="352" t="s">
        <v>87</v>
      </c>
      <c r="B30" s="353"/>
      <c r="C30" s="353"/>
      <c r="D30" s="354"/>
    </row>
    <row r="31" spans="1:6" ht="15.75" thickBot="1" x14ac:dyDescent="0.3">
      <c r="A31" s="169" t="s">
        <v>75</v>
      </c>
      <c r="B31" s="170" t="s">
        <v>86</v>
      </c>
      <c r="C31" s="171">
        <f>+Antivirus!B3</f>
        <v>14</v>
      </c>
      <c r="D31" s="172">
        <f>+Antivirus!D3</f>
        <v>14320264</v>
      </c>
    </row>
    <row r="32" spans="1:6" ht="15.75" thickBot="1" x14ac:dyDescent="0.3">
      <c r="A32" s="252" t="s">
        <v>75</v>
      </c>
      <c r="B32" s="79" t="s">
        <v>76</v>
      </c>
      <c r="C32" s="80">
        <f>+Antivirus!B2</f>
        <v>10</v>
      </c>
      <c r="D32" s="253">
        <f>+Antivirus!D2</f>
        <v>1720000</v>
      </c>
    </row>
    <row r="33" spans="1:5" ht="15.75" thickBot="1" x14ac:dyDescent="0.3">
      <c r="A33" s="254"/>
      <c r="B33" s="255" t="s">
        <v>67</v>
      </c>
      <c r="C33" s="256"/>
      <c r="D33" s="257">
        <f>+Antivirus!D4</f>
        <v>16040264</v>
      </c>
    </row>
    <row r="34" spans="1:5" s="179" customFormat="1" ht="15.75" thickBot="1" x14ac:dyDescent="0.3">
      <c r="A34" s="175"/>
      <c r="B34" s="176"/>
      <c r="C34" s="177"/>
      <c r="D34" s="178"/>
    </row>
    <row r="35" spans="1:5" ht="15.75" thickBot="1" x14ac:dyDescent="0.3">
      <c r="A35" s="352" t="s">
        <v>198</v>
      </c>
      <c r="B35" s="353"/>
      <c r="C35" s="353"/>
      <c r="D35" s="354"/>
    </row>
    <row r="36" spans="1:5" ht="15.75" thickBot="1" x14ac:dyDescent="0.3">
      <c r="A36" s="169" t="s">
        <v>118</v>
      </c>
      <c r="B36" s="180" t="s">
        <v>199</v>
      </c>
      <c r="C36" s="180"/>
      <c r="D36" s="172">
        <f>+Foglight!F12</f>
        <v>358408500</v>
      </c>
    </row>
    <row r="37" spans="1:5" ht="15.75" thickBot="1" x14ac:dyDescent="0.3">
      <c r="A37" s="252" t="s">
        <v>118</v>
      </c>
      <c r="B37" s="258" t="s">
        <v>200</v>
      </c>
      <c r="C37" s="258"/>
      <c r="D37" s="259">
        <f>+Foglight!F21</f>
        <v>545487000</v>
      </c>
    </row>
    <row r="38" spans="1:5" ht="15.75" thickBot="1" x14ac:dyDescent="0.3">
      <c r="A38" s="254"/>
      <c r="B38" s="255" t="s">
        <v>67</v>
      </c>
      <c r="C38" s="256"/>
      <c r="D38" s="257">
        <f>SUM(D36:D37)</f>
        <v>903895500</v>
      </c>
    </row>
    <row r="39" spans="1:5" x14ac:dyDescent="0.25">
      <c r="A39" s="173"/>
      <c r="B39" s="174"/>
      <c r="C39" s="174"/>
      <c r="D39" s="174"/>
    </row>
    <row r="40" spans="1:5" ht="15.75" thickBot="1" x14ac:dyDescent="0.3">
      <c r="A40" s="173"/>
      <c r="B40" s="174"/>
      <c r="C40" s="174"/>
      <c r="D40" s="174"/>
    </row>
    <row r="41" spans="1:5" ht="15.75" thickBot="1" x14ac:dyDescent="0.3">
      <c r="A41" s="349" t="s">
        <v>284</v>
      </c>
      <c r="B41" s="350"/>
      <c r="C41" s="350"/>
      <c r="D41" s="351"/>
    </row>
    <row r="42" spans="1:5" x14ac:dyDescent="0.25">
      <c r="A42" s="166" t="s">
        <v>116</v>
      </c>
      <c r="B42" s="167" t="s">
        <v>117</v>
      </c>
      <c r="C42" s="168"/>
      <c r="D42" s="212">
        <f>+CostoEquipoLicencias!D18</f>
        <v>7850077.8000000017</v>
      </c>
    </row>
    <row r="43" spans="1:5" x14ac:dyDescent="0.25">
      <c r="A43" s="71"/>
      <c r="B43" s="71" t="s">
        <v>118</v>
      </c>
      <c r="C43" s="78"/>
      <c r="D43" s="213">
        <f>+CostoEquipoLicencias!G18</f>
        <v>47692981.300000019</v>
      </c>
    </row>
    <row r="44" spans="1:5" x14ac:dyDescent="0.25">
      <c r="A44" s="71"/>
      <c r="B44" s="99" t="s">
        <v>67</v>
      </c>
      <c r="C44" s="70"/>
      <c r="D44" s="214">
        <f>SUM(D42:D43)</f>
        <v>55543059.100000024</v>
      </c>
    </row>
    <row r="45" spans="1:5" ht="15.75" thickBot="1" x14ac:dyDescent="0.3"/>
    <row r="46" spans="1:5" ht="15.75" thickBot="1" x14ac:dyDescent="0.3">
      <c r="B46" s="232" t="s">
        <v>67</v>
      </c>
      <c r="C46" s="261"/>
      <c r="D46" s="260">
        <f>+D15+D19+D25+D29+D33+D38+D44</f>
        <v>2843775344.1742158</v>
      </c>
    </row>
    <row r="47" spans="1:5" x14ac:dyDescent="0.25">
      <c r="D47" s="145">
        <f>+D46-D44</f>
        <v>2788232285.0742159</v>
      </c>
      <c r="E47" s="145">
        <v>2788232285.0742202</v>
      </c>
    </row>
  </sheetData>
  <mergeCells count="11">
    <mergeCell ref="A41:D41"/>
    <mergeCell ref="A35:D35"/>
    <mergeCell ref="A2:D2"/>
    <mergeCell ref="A20:D20"/>
    <mergeCell ref="A26:D26"/>
    <mergeCell ref="A30:D30"/>
    <mergeCell ref="A15:C15"/>
    <mergeCell ref="A25:C25"/>
    <mergeCell ref="A29:C29"/>
    <mergeCell ref="A16:D16"/>
    <mergeCell ref="A19:C1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workbookViewId="0">
      <selection activeCell="G18" sqref="G18:G21"/>
    </sheetView>
  </sheetViews>
  <sheetFormatPr baseColWidth="10" defaultRowHeight="15" x14ac:dyDescent="0.25"/>
  <cols>
    <col min="1" max="1" width="4.42578125" bestFit="1" customWidth="1"/>
    <col min="2" max="2" width="14.7109375" bestFit="1" customWidth="1"/>
    <col min="3" max="3" width="3.7109375" bestFit="1" customWidth="1"/>
    <col min="4" max="4" width="8.5703125" bestFit="1" customWidth="1"/>
    <col min="5" max="5" width="8.85546875" bestFit="1" customWidth="1"/>
    <col min="6" max="6" width="13" bestFit="1" customWidth="1"/>
    <col min="7" max="7" width="6.7109375" bestFit="1" customWidth="1"/>
    <col min="8" max="8" width="29.140625" bestFit="1" customWidth="1"/>
  </cols>
  <sheetData>
    <row r="1" spans="1:8" ht="15.75" thickBot="1" x14ac:dyDescent="0.3">
      <c r="A1" s="406" t="s">
        <v>371</v>
      </c>
      <c r="B1" s="407"/>
      <c r="C1" s="407"/>
      <c r="D1" s="407"/>
      <c r="E1" s="407"/>
      <c r="F1" s="407"/>
      <c r="G1" s="407"/>
      <c r="H1" s="408"/>
    </row>
    <row r="2" spans="1:8" ht="27.75" thickBot="1" x14ac:dyDescent="0.3">
      <c r="A2" s="399" t="s">
        <v>372</v>
      </c>
      <c r="B2" s="400" t="s">
        <v>99</v>
      </c>
      <c r="C2" s="400" t="s">
        <v>373</v>
      </c>
      <c r="D2" s="400" t="s">
        <v>374</v>
      </c>
      <c r="E2" s="400" t="s">
        <v>375</v>
      </c>
      <c r="F2" s="400" t="s">
        <v>376</v>
      </c>
      <c r="G2" s="400" t="s">
        <v>377</v>
      </c>
      <c r="H2" s="400" t="s">
        <v>378</v>
      </c>
    </row>
    <row r="3" spans="1:8" x14ac:dyDescent="0.25">
      <c r="A3" s="410">
        <v>1</v>
      </c>
      <c r="B3" s="412" t="s">
        <v>379</v>
      </c>
      <c r="C3" s="410" t="s">
        <v>380</v>
      </c>
      <c r="D3" s="412" t="s">
        <v>210</v>
      </c>
      <c r="E3" s="412" t="s">
        <v>381</v>
      </c>
      <c r="F3" s="412" t="s">
        <v>382</v>
      </c>
      <c r="G3" s="410" t="s">
        <v>383</v>
      </c>
      <c r="H3" s="414" t="s">
        <v>384</v>
      </c>
    </row>
    <row r="4" spans="1:8" ht="15.75" thickBot="1" x14ac:dyDescent="0.3">
      <c r="A4" s="411"/>
      <c r="B4" s="413"/>
      <c r="C4" s="411"/>
      <c r="D4" s="413"/>
      <c r="E4" s="413"/>
      <c r="F4" s="413"/>
      <c r="G4" s="411"/>
      <c r="H4" s="415"/>
    </row>
    <row r="5" spans="1:8" ht="27.75" thickBot="1" x14ac:dyDescent="0.3">
      <c r="A5" s="410">
        <v>1</v>
      </c>
      <c r="B5" s="412" t="s">
        <v>385</v>
      </c>
      <c r="C5" s="410" t="s">
        <v>380</v>
      </c>
      <c r="D5" s="412" t="s">
        <v>210</v>
      </c>
      <c r="E5" s="412" t="s">
        <v>386</v>
      </c>
      <c r="F5" s="401" t="s">
        <v>387</v>
      </c>
      <c r="G5" s="410" t="s">
        <v>389</v>
      </c>
      <c r="H5" s="405" t="s">
        <v>384</v>
      </c>
    </row>
    <row r="6" spans="1:8" ht="27.75" thickBot="1" x14ac:dyDescent="0.3">
      <c r="A6" s="409"/>
      <c r="B6" s="416"/>
      <c r="C6" s="409"/>
      <c r="D6" s="416"/>
      <c r="E6" s="416"/>
      <c r="F6" s="401" t="s">
        <v>388</v>
      </c>
      <c r="G6" s="409"/>
      <c r="H6" s="405" t="s">
        <v>390</v>
      </c>
    </row>
    <row r="7" spans="1:8" ht="15.75" thickBot="1" x14ac:dyDescent="0.3">
      <c r="A7" s="409"/>
      <c r="B7" s="416"/>
      <c r="C7" s="409"/>
      <c r="D7" s="416"/>
      <c r="E7" s="416"/>
      <c r="F7" s="403"/>
      <c r="G7" s="409"/>
      <c r="H7" s="405" t="s">
        <v>391</v>
      </c>
    </row>
    <row r="8" spans="1:8" ht="27.75" thickBot="1" x14ac:dyDescent="0.3">
      <c r="A8" s="409"/>
      <c r="B8" s="416"/>
      <c r="C8" s="409"/>
      <c r="D8" s="416"/>
      <c r="E8" s="416"/>
      <c r="F8" s="403"/>
      <c r="G8" s="409"/>
      <c r="H8" s="405" t="s">
        <v>392</v>
      </c>
    </row>
    <row r="9" spans="1:8" ht="15.75" thickBot="1" x14ac:dyDescent="0.3">
      <c r="A9" s="409"/>
      <c r="B9" s="416"/>
      <c r="C9" s="409"/>
      <c r="D9" s="416"/>
      <c r="E9" s="416"/>
      <c r="F9" s="403"/>
      <c r="G9" s="409"/>
      <c r="H9" s="405" t="s">
        <v>393</v>
      </c>
    </row>
    <row r="10" spans="1:8" ht="27.75" thickBot="1" x14ac:dyDescent="0.3">
      <c r="A10" s="411"/>
      <c r="B10" s="413"/>
      <c r="C10" s="411"/>
      <c r="D10" s="413"/>
      <c r="E10" s="413"/>
      <c r="F10" s="404"/>
      <c r="G10" s="411"/>
      <c r="H10" s="405" t="s">
        <v>394</v>
      </c>
    </row>
    <row r="11" spans="1:8" ht="27.75" thickBot="1" x14ac:dyDescent="0.3">
      <c r="A11" s="410">
        <v>1</v>
      </c>
      <c r="B11" s="412" t="s">
        <v>395</v>
      </c>
      <c r="C11" s="410" t="s">
        <v>396</v>
      </c>
      <c r="D11" s="412" t="s">
        <v>397</v>
      </c>
      <c r="E11" s="412" t="s">
        <v>398</v>
      </c>
      <c r="F11" s="401" t="s">
        <v>399</v>
      </c>
      <c r="G11" s="410" t="s">
        <v>401</v>
      </c>
      <c r="H11" s="405" t="s">
        <v>384</v>
      </c>
    </row>
    <row r="12" spans="1:8" ht="27.75" thickBot="1" x14ac:dyDescent="0.3">
      <c r="A12" s="409"/>
      <c r="B12" s="416"/>
      <c r="C12" s="409"/>
      <c r="D12" s="416"/>
      <c r="E12" s="416"/>
      <c r="F12" s="401" t="s">
        <v>400</v>
      </c>
      <c r="G12" s="409"/>
      <c r="H12" s="405" t="s">
        <v>390</v>
      </c>
    </row>
    <row r="13" spans="1:8" ht="27.75" thickBot="1" x14ac:dyDescent="0.3">
      <c r="A13" s="409"/>
      <c r="B13" s="416"/>
      <c r="C13" s="409"/>
      <c r="D13" s="416"/>
      <c r="E13" s="416"/>
      <c r="F13" s="403"/>
      <c r="G13" s="409"/>
      <c r="H13" s="405" t="s">
        <v>402</v>
      </c>
    </row>
    <row r="14" spans="1:8" ht="15.75" thickBot="1" x14ac:dyDescent="0.3">
      <c r="A14" s="409"/>
      <c r="B14" s="416"/>
      <c r="C14" s="409"/>
      <c r="D14" s="416"/>
      <c r="E14" s="416"/>
      <c r="F14" s="403"/>
      <c r="G14" s="409"/>
      <c r="H14" s="405" t="s">
        <v>391</v>
      </c>
    </row>
    <row r="15" spans="1:8" ht="27.75" thickBot="1" x14ac:dyDescent="0.3">
      <c r="A15" s="409"/>
      <c r="B15" s="416"/>
      <c r="C15" s="409"/>
      <c r="D15" s="416"/>
      <c r="E15" s="416"/>
      <c r="F15" s="403"/>
      <c r="G15" s="409"/>
      <c r="H15" s="405" t="s">
        <v>392</v>
      </c>
    </row>
    <row r="16" spans="1:8" ht="27.75" thickBot="1" x14ac:dyDescent="0.3">
      <c r="A16" s="409"/>
      <c r="B16" s="416"/>
      <c r="C16" s="409"/>
      <c r="D16" s="416"/>
      <c r="E16" s="416"/>
      <c r="F16" s="403"/>
      <c r="G16" s="409"/>
      <c r="H16" s="405" t="s">
        <v>394</v>
      </c>
    </row>
    <row r="17" spans="1:8" ht="15.75" thickBot="1" x14ac:dyDescent="0.3">
      <c r="A17" s="411"/>
      <c r="B17" s="413"/>
      <c r="C17" s="411"/>
      <c r="D17" s="413"/>
      <c r="E17" s="413"/>
      <c r="F17" s="404"/>
      <c r="G17" s="411"/>
      <c r="H17" s="405" t="s">
        <v>403</v>
      </c>
    </row>
    <row r="18" spans="1:8" ht="108.75" thickBot="1" x14ac:dyDescent="0.3">
      <c r="A18" s="410">
        <v>5</v>
      </c>
      <c r="B18" s="412" t="s">
        <v>404</v>
      </c>
      <c r="C18" s="410" t="s">
        <v>396</v>
      </c>
      <c r="D18" s="412" t="s">
        <v>397</v>
      </c>
      <c r="E18" s="412" t="s">
        <v>398</v>
      </c>
      <c r="F18" s="412" t="s">
        <v>405</v>
      </c>
      <c r="G18" s="410" t="s">
        <v>383</v>
      </c>
      <c r="H18" s="405" t="s">
        <v>406</v>
      </c>
    </row>
    <row r="19" spans="1:8" ht="68.25" thickBot="1" x14ac:dyDescent="0.3">
      <c r="A19" s="409"/>
      <c r="B19" s="416"/>
      <c r="C19" s="409"/>
      <c r="D19" s="416"/>
      <c r="E19" s="416"/>
      <c r="F19" s="416"/>
      <c r="G19" s="409"/>
      <c r="H19" s="405" t="s">
        <v>407</v>
      </c>
    </row>
    <row r="20" spans="1:8" ht="27.75" thickBot="1" x14ac:dyDescent="0.3">
      <c r="A20" s="409"/>
      <c r="B20" s="416"/>
      <c r="C20" s="409"/>
      <c r="D20" s="416"/>
      <c r="E20" s="416"/>
      <c r="F20" s="416"/>
      <c r="G20" s="409"/>
      <c r="H20" s="405" t="s">
        <v>408</v>
      </c>
    </row>
    <row r="21" spans="1:8" ht="41.25" thickBot="1" x14ac:dyDescent="0.3">
      <c r="A21" s="411"/>
      <c r="B21" s="413"/>
      <c r="C21" s="411"/>
      <c r="D21" s="413"/>
      <c r="E21" s="413"/>
      <c r="F21" s="413"/>
      <c r="G21" s="411"/>
      <c r="H21" s="405" t="s">
        <v>409</v>
      </c>
    </row>
    <row r="22" spans="1:8" ht="95.25" thickBot="1" x14ac:dyDescent="0.3">
      <c r="A22" s="410">
        <v>5</v>
      </c>
      <c r="B22" s="412" t="s">
        <v>410</v>
      </c>
      <c r="C22" s="410" t="s">
        <v>396</v>
      </c>
      <c r="D22" s="412" t="s">
        <v>397</v>
      </c>
      <c r="E22" s="412" t="s">
        <v>411</v>
      </c>
      <c r="F22" s="412" t="s">
        <v>405</v>
      </c>
      <c r="G22" s="410" t="s">
        <v>383</v>
      </c>
      <c r="H22" s="405" t="s">
        <v>384</v>
      </c>
    </row>
    <row r="23" spans="1:8" ht="68.25" thickBot="1" x14ac:dyDescent="0.3">
      <c r="A23" s="409"/>
      <c r="B23" s="416"/>
      <c r="C23" s="409"/>
      <c r="D23" s="416"/>
      <c r="E23" s="416"/>
      <c r="F23" s="416"/>
      <c r="G23" s="409"/>
      <c r="H23" s="405" t="s">
        <v>407</v>
      </c>
    </row>
    <row r="24" spans="1:8" ht="27.75" thickBot="1" x14ac:dyDescent="0.3">
      <c r="A24" s="409"/>
      <c r="B24" s="416"/>
      <c r="C24" s="409"/>
      <c r="D24" s="416"/>
      <c r="E24" s="416"/>
      <c r="F24" s="416"/>
      <c r="G24" s="409"/>
      <c r="H24" s="405" t="s">
        <v>412</v>
      </c>
    </row>
    <row r="25" spans="1:8" ht="41.25" thickBot="1" x14ac:dyDescent="0.3">
      <c r="A25" s="411"/>
      <c r="B25" s="413"/>
      <c r="C25" s="411"/>
      <c r="D25" s="413"/>
      <c r="E25" s="413"/>
      <c r="F25" s="413"/>
      <c r="G25" s="411"/>
      <c r="H25" s="405" t="s">
        <v>409</v>
      </c>
    </row>
    <row r="26" spans="1:8" ht="95.25" thickBot="1" x14ac:dyDescent="0.3">
      <c r="A26" s="410">
        <v>1</v>
      </c>
      <c r="B26" s="412" t="s">
        <v>413</v>
      </c>
      <c r="C26" s="410" t="s">
        <v>380</v>
      </c>
      <c r="D26" s="412" t="s">
        <v>210</v>
      </c>
      <c r="E26" s="412" t="s">
        <v>414</v>
      </c>
      <c r="F26" s="412" t="s">
        <v>415</v>
      </c>
      <c r="G26" s="410" t="s">
        <v>383</v>
      </c>
      <c r="H26" s="405" t="s">
        <v>384</v>
      </c>
    </row>
    <row r="27" spans="1:8" ht="108.75" thickBot="1" x14ac:dyDescent="0.3">
      <c r="A27" s="409"/>
      <c r="B27" s="416"/>
      <c r="C27" s="409"/>
      <c r="D27" s="416"/>
      <c r="E27" s="416"/>
      <c r="F27" s="416"/>
      <c r="G27" s="409"/>
      <c r="H27" s="405" t="s">
        <v>416</v>
      </c>
    </row>
    <row r="28" spans="1:8" ht="95.25" thickBot="1" x14ac:dyDescent="0.3">
      <c r="A28" s="409"/>
      <c r="B28" s="416"/>
      <c r="C28" s="409"/>
      <c r="D28" s="416"/>
      <c r="E28" s="416"/>
      <c r="F28" s="416"/>
      <c r="G28" s="409"/>
      <c r="H28" s="405" t="s">
        <v>417</v>
      </c>
    </row>
    <row r="29" spans="1:8" ht="68.25" thickBot="1" x14ac:dyDescent="0.3">
      <c r="A29" s="411"/>
      <c r="B29" s="413"/>
      <c r="C29" s="411"/>
      <c r="D29" s="413"/>
      <c r="E29" s="413"/>
      <c r="F29" s="413"/>
      <c r="G29" s="411"/>
      <c r="H29" s="405" t="s">
        <v>407</v>
      </c>
    </row>
    <row r="30" spans="1:8" x14ac:dyDescent="0.25">
      <c r="A30" s="410">
        <v>2</v>
      </c>
      <c r="B30" s="412" t="s">
        <v>418</v>
      </c>
      <c r="C30" s="410" t="s">
        <v>396</v>
      </c>
      <c r="D30" s="412" t="s">
        <v>397</v>
      </c>
      <c r="E30" s="412" t="s">
        <v>419</v>
      </c>
      <c r="F30" s="412" t="s">
        <v>405</v>
      </c>
      <c r="G30" s="410" t="s">
        <v>383</v>
      </c>
      <c r="H30" s="414" t="s">
        <v>384</v>
      </c>
    </row>
    <row r="31" spans="1:8" ht="15.75" thickBot="1" x14ac:dyDescent="0.3">
      <c r="A31" s="411"/>
      <c r="B31" s="413"/>
      <c r="C31" s="411"/>
      <c r="D31" s="413"/>
      <c r="E31" s="413"/>
      <c r="F31" s="413"/>
      <c r="G31" s="411"/>
      <c r="H31" s="415"/>
    </row>
    <row r="32" spans="1:8" x14ac:dyDescent="0.25">
      <c r="A32" s="410">
        <v>2</v>
      </c>
      <c r="B32" s="412" t="s">
        <v>420</v>
      </c>
      <c r="C32" s="410" t="s">
        <v>396</v>
      </c>
      <c r="D32" s="412" t="s">
        <v>397</v>
      </c>
      <c r="E32" s="412" t="s">
        <v>398</v>
      </c>
      <c r="F32" s="412" t="s">
        <v>405</v>
      </c>
      <c r="G32" s="410" t="s">
        <v>383</v>
      </c>
      <c r="H32" s="414" t="s">
        <v>384</v>
      </c>
    </row>
    <row r="33" spans="1:8" ht="15.75" thickBot="1" x14ac:dyDescent="0.3">
      <c r="A33" s="411"/>
      <c r="B33" s="413"/>
      <c r="C33" s="411"/>
      <c r="D33" s="413"/>
      <c r="E33" s="413"/>
      <c r="F33" s="413"/>
      <c r="G33" s="411"/>
      <c r="H33" s="415"/>
    </row>
    <row r="34" spans="1:8" x14ac:dyDescent="0.25">
      <c r="A34" s="410">
        <v>2</v>
      </c>
      <c r="B34" s="412" t="s">
        <v>421</v>
      </c>
      <c r="C34" s="410" t="s">
        <v>396</v>
      </c>
      <c r="D34" s="412" t="s">
        <v>397</v>
      </c>
      <c r="E34" s="412" t="s">
        <v>411</v>
      </c>
      <c r="F34" s="412" t="s">
        <v>405</v>
      </c>
      <c r="G34" s="410" t="s">
        <v>383</v>
      </c>
      <c r="H34" s="414" t="s">
        <v>384</v>
      </c>
    </row>
    <row r="35" spans="1:8" ht="15.75" thickBot="1" x14ac:dyDescent="0.3">
      <c r="A35" s="411"/>
      <c r="B35" s="413"/>
      <c r="C35" s="411"/>
      <c r="D35" s="413"/>
      <c r="E35" s="413"/>
      <c r="F35" s="413"/>
      <c r="G35" s="411"/>
      <c r="H35" s="415"/>
    </row>
    <row r="36" spans="1:8" x14ac:dyDescent="0.25">
      <c r="A36" s="410">
        <v>1</v>
      </c>
      <c r="B36" s="412" t="s">
        <v>422</v>
      </c>
      <c r="C36" s="410" t="s">
        <v>396</v>
      </c>
      <c r="D36" s="412" t="s">
        <v>397</v>
      </c>
      <c r="E36" s="412" t="s">
        <v>411</v>
      </c>
      <c r="F36" s="412" t="s">
        <v>405</v>
      </c>
      <c r="G36" s="410" t="s">
        <v>383</v>
      </c>
      <c r="H36" s="414" t="s">
        <v>384</v>
      </c>
    </row>
    <row r="37" spans="1:8" ht="15.75" thickBot="1" x14ac:dyDescent="0.3">
      <c r="A37" s="411"/>
      <c r="B37" s="413"/>
      <c r="C37" s="411"/>
      <c r="D37" s="413"/>
      <c r="E37" s="413"/>
      <c r="F37" s="413"/>
      <c r="G37" s="411"/>
      <c r="H37" s="415"/>
    </row>
    <row r="38" spans="1:8" ht="94.5" x14ac:dyDescent="0.25">
      <c r="A38" s="410">
        <v>1</v>
      </c>
      <c r="B38" s="412" t="s">
        <v>423</v>
      </c>
      <c r="C38" s="410" t="s">
        <v>396</v>
      </c>
      <c r="D38" s="412" t="s">
        <v>397</v>
      </c>
      <c r="E38" s="412" t="s">
        <v>419</v>
      </c>
      <c r="F38" s="412" t="s">
        <v>424</v>
      </c>
      <c r="G38" s="410" t="s">
        <v>401</v>
      </c>
      <c r="H38" s="402" t="s">
        <v>384</v>
      </c>
    </row>
    <row r="39" spans="1:8" ht="68.25" thickBot="1" x14ac:dyDescent="0.3">
      <c r="A39" s="411"/>
      <c r="B39" s="413"/>
      <c r="C39" s="411"/>
      <c r="D39" s="413"/>
      <c r="E39" s="413"/>
      <c r="F39" s="413"/>
      <c r="G39" s="411"/>
      <c r="H39" s="405" t="s">
        <v>390</v>
      </c>
    </row>
    <row r="40" spans="1:8" x14ac:dyDescent="0.25">
      <c r="A40" s="410">
        <v>1</v>
      </c>
      <c r="B40" s="412" t="s">
        <v>425</v>
      </c>
      <c r="C40" s="410" t="s">
        <v>380</v>
      </c>
      <c r="D40" s="412" t="s">
        <v>210</v>
      </c>
      <c r="E40" s="412" t="s">
        <v>381</v>
      </c>
      <c r="F40" s="412" t="s">
        <v>426</v>
      </c>
      <c r="G40" s="410" t="s">
        <v>383</v>
      </c>
      <c r="H40" s="414" t="s">
        <v>384</v>
      </c>
    </row>
    <row r="41" spans="1:8" ht="15.75" thickBot="1" x14ac:dyDescent="0.3">
      <c r="A41" s="411"/>
      <c r="B41" s="413"/>
      <c r="C41" s="411"/>
      <c r="D41" s="413"/>
      <c r="E41" s="413"/>
      <c r="F41" s="413"/>
      <c r="G41" s="411"/>
      <c r="H41" s="415"/>
    </row>
  </sheetData>
  <mergeCells count="89">
    <mergeCell ref="H40:H41"/>
    <mergeCell ref="G38:G39"/>
    <mergeCell ref="A40:A41"/>
    <mergeCell ref="B40:B41"/>
    <mergeCell ref="C40:C41"/>
    <mergeCell ref="D40:D41"/>
    <mergeCell ref="E40:E41"/>
    <mergeCell ref="F40:F41"/>
    <mergeCell ref="G40:G41"/>
    <mergeCell ref="A38:A39"/>
    <mergeCell ref="B38:B39"/>
    <mergeCell ref="C38:C39"/>
    <mergeCell ref="D38:D39"/>
    <mergeCell ref="E38:E39"/>
    <mergeCell ref="F38:F39"/>
    <mergeCell ref="G34:G35"/>
    <mergeCell ref="H34:H35"/>
    <mergeCell ref="A36:A37"/>
    <mergeCell ref="B36:B37"/>
    <mergeCell ref="C36:C37"/>
    <mergeCell ref="D36:D37"/>
    <mergeCell ref="E36:E37"/>
    <mergeCell ref="F36:F37"/>
    <mergeCell ref="G36:G37"/>
    <mergeCell ref="H36:H37"/>
    <mergeCell ref="A34:A35"/>
    <mergeCell ref="B34:B35"/>
    <mergeCell ref="C34:C35"/>
    <mergeCell ref="D34:D35"/>
    <mergeCell ref="E34:E35"/>
    <mergeCell ref="F34:F35"/>
    <mergeCell ref="H30:H31"/>
    <mergeCell ref="A32:A33"/>
    <mergeCell ref="B32:B33"/>
    <mergeCell ref="C32:C33"/>
    <mergeCell ref="D32:D33"/>
    <mergeCell ref="E32:E33"/>
    <mergeCell ref="F32:F33"/>
    <mergeCell ref="G32:G33"/>
    <mergeCell ref="H32:H33"/>
    <mergeCell ref="G26:G29"/>
    <mergeCell ref="A30:A31"/>
    <mergeCell ref="B30:B31"/>
    <mergeCell ref="C30:C31"/>
    <mergeCell ref="D30:D31"/>
    <mergeCell ref="E30:E31"/>
    <mergeCell ref="F30:F31"/>
    <mergeCell ref="G30:G31"/>
    <mergeCell ref="A26:A29"/>
    <mergeCell ref="B26:B29"/>
    <mergeCell ref="C26:C29"/>
    <mergeCell ref="D26:D29"/>
    <mergeCell ref="E26:E29"/>
    <mergeCell ref="F26:F29"/>
    <mergeCell ref="G18:G21"/>
    <mergeCell ref="A22:A25"/>
    <mergeCell ref="B22:B25"/>
    <mergeCell ref="C22:C25"/>
    <mergeCell ref="D22:D25"/>
    <mergeCell ref="E22:E25"/>
    <mergeCell ref="F22:F25"/>
    <mergeCell ref="G22:G25"/>
    <mergeCell ref="A18:A21"/>
    <mergeCell ref="B18:B21"/>
    <mergeCell ref="C18:C21"/>
    <mergeCell ref="D18:D21"/>
    <mergeCell ref="E18:E21"/>
    <mergeCell ref="F18:F21"/>
    <mergeCell ref="A11:A17"/>
    <mergeCell ref="B11:B17"/>
    <mergeCell ref="C11:C17"/>
    <mergeCell ref="D11:D17"/>
    <mergeCell ref="E11:E17"/>
    <mergeCell ref="G11:G17"/>
    <mergeCell ref="A5:A10"/>
    <mergeCell ref="B5:B10"/>
    <mergeCell ref="C5:C10"/>
    <mergeCell ref="D5:D10"/>
    <mergeCell ref="E5:E10"/>
    <mergeCell ref="G5:G10"/>
    <mergeCell ref="A1:H1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6"/>
  <sheetViews>
    <sheetView topLeftCell="A13" workbookViewId="0">
      <selection activeCell="H11" sqref="H11"/>
    </sheetView>
  </sheetViews>
  <sheetFormatPr baseColWidth="10" defaultRowHeight="15" x14ac:dyDescent="0.25"/>
  <cols>
    <col min="1" max="1" width="3.42578125" customWidth="1"/>
    <col min="2" max="2" width="5.28515625" style="295" customWidth="1"/>
    <col min="3" max="3" width="46.7109375" customWidth="1"/>
    <col min="4" max="4" width="16.140625" style="303" customWidth="1"/>
    <col min="5" max="5" width="16.28515625" customWidth="1"/>
    <col min="6" max="6" width="18.7109375" customWidth="1"/>
    <col min="7" max="7" width="9.7109375" customWidth="1"/>
    <col min="8" max="8" width="15.5703125" style="146" customWidth="1"/>
    <col min="9" max="9" width="15.140625" bestFit="1" customWidth="1"/>
  </cols>
  <sheetData>
    <row r="1" spans="2:9" ht="15.75" thickBot="1" x14ac:dyDescent="0.3">
      <c r="C1" s="296" t="s">
        <v>338</v>
      </c>
      <c r="D1" s="297">
        <v>328000000</v>
      </c>
    </row>
    <row r="2" spans="2:9" ht="15.75" thickBot="1" x14ac:dyDescent="0.3">
      <c r="C2" s="298" t="s">
        <v>339</v>
      </c>
      <c r="D2" s="299">
        <f>(1-D1/D24)</f>
        <v>0.35794706675239951</v>
      </c>
    </row>
    <row r="3" spans="2:9" ht="15.75" thickBot="1" x14ac:dyDescent="0.3">
      <c r="C3" s="300" t="s">
        <v>340</v>
      </c>
      <c r="D3" s="301" t="s">
        <v>341</v>
      </c>
      <c r="E3" s="302" t="s">
        <v>342</v>
      </c>
      <c r="F3" s="302" t="s">
        <v>343</v>
      </c>
      <c r="G3" s="398" t="s">
        <v>370</v>
      </c>
    </row>
    <row r="4" spans="2:9" ht="15.75" thickBot="1" x14ac:dyDescent="0.3"/>
    <row r="5" spans="2:9" ht="15.75" thickBot="1" x14ac:dyDescent="0.3">
      <c r="B5" s="360" t="s">
        <v>344</v>
      </c>
      <c r="C5" s="361"/>
      <c r="D5" s="361"/>
      <c r="E5" s="361"/>
      <c r="F5" s="361"/>
      <c r="G5" s="361"/>
      <c r="H5" s="362"/>
    </row>
    <row r="6" spans="2:9" ht="15.75" thickBot="1" x14ac:dyDescent="0.3">
      <c r="B6" s="304"/>
      <c r="C6" s="363" t="s">
        <v>345</v>
      </c>
      <c r="D6" s="364"/>
      <c r="E6" s="364"/>
      <c r="F6" s="364"/>
      <c r="G6" s="364"/>
      <c r="H6" s="365"/>
    </row>
    <row r="7" spans="2:9" ht="46.5" customHeight="1" thickBot="1" x14ac:dyDescent="0.3">
      <c r="B7" s="305"/>
      <c r="C7" s="306" t="s">
        <v>346</v>
      </c>
      <c r="D7" s="307" t="s">
        <v>347</v>
      </c>
      <c r="E7" s="308" t="s">
        <v>348</v>
      </c>
      <c r="F7" s="308" t="s">
        <v>349</v>
      </c>
      <c r="G7" s="308" t="s">
        <v>350</v>
      </c>
      <c r="H7" s="308" t="s">
        <v>351</v>
      </c>
    </row>
    <row r="8" spans="2:9" ht="18" customHeight="1" thickBot="1" x14ac:dyDescent="0.3">
      <c r="B8" s="366" t="s">
        <v>352</v>
      </c>
      <c r="C8" s="367"/>
      <c r="D8" s="309"/>
      <c r="E8" s="309"/>
      <c r="F8" s="309"/>
      <c r="G8" s="310"/>
      <c r="H8" s="309"/>
    </row>
    <row r="9" spans="2:9" ht="17.25" customHeight="1" thickBot="1" x14ac:dyDescent="0.3">
      <c r="B9" s="311">
        <v>1</v>
      </c>
      <c r="C9" s="312" t="s">
        <v>353</v>
      </c>
      <c r="D9" s="313">
        <v>1851265</v>
      </c>
      <c r="E9" s="313">
        <f>D9*$D$2</f>
        <v>662654.87653138093</v>
      </c>
      <c r="F9" s="313">
        <f>D9-E9</f>
        <v>1188610.1234686191</v>
      </c>
      <c r="G9" s="314">
        <v>21</v>
      </c>
      <c r="H9" s="313">
        <f>G9*F9</f>
        <v>24960812.592840999</v>
      </c>
    </row>
    <row r="10" spans="2:9" ht="15.75" thickBot="1" x14ac:dyDescent="0.3">
      <c r="B10" s="311">
        <v>2</v>
      </c>
      <c r="C10" s="312" t="s">
        <v>354</v>
      </c>
      <c r="D10" s="313">
        <v>2681175</v>
      </c>
      <c r="E10" s="313">
        <f t="shared" ref="E10:E24" si="0">D10*$D$2</f>
        <v>959718.72669986472</v>
      </c>
      <c r="F10" s="313">
        <f t="shared" ref="F10:F24" si="1">D10-E10</f>
        <v>1721456.2733001353</v>
      </c>
      <c r="G10" s="314">
        <v>21</v>
      </c>
      <c r="H10" s="313">
        <f t="shared" ref="H10:H24" si="2">G10*F10</f>
        <v>36150581.739302844</v>
      </c>
    </row>
    <row r="11" spans="2:9" ht="15.75" thickBot="1" x14ac:dyDescent="0.3">
      <c r="B11" s="394">
        <v>3</v>
      </c>
      <c r="C11" s="395" t="s">
        <v>355</v>
      </c>
      <c r="D11" s="396">
        <v>89994113</v>
      </c>
      <c r="E11" s="396">
        <f t="shared" si="0"/>
        <v>32213128.773333985</v>
      </c>
      <c r="F11" s="396">
        <f t="shared" si="1"/>
        <v>57780984.226666018</v>
      </c>
      <c r="G11" s="397">
        <v>21</v>
      </c>
      <c r="H11" s="396">
        <f t="shared" si="2"/>
        <v>1213400668.7599864</v>
      </c>
      <c r="I11" s="315">
        <v>1213400668.7599864</v>
      </c>
    </row>
    <row r="12" spans="2:9" ht="60.75" thickBot="1" x14ac:dyDescent="0.3">
      <c r="B12" s="316">
        <v>4</v>
      </c>
      <c r="C12" s="317" t="s">
        <v>356</v>
      </c>
      <c r="D12" s="318">
        <v>210366103</v>
      </c>
      <c r="E12" s="318">
        <f t="shared" si="0"/>
        <v>75299929.512983158</v>
      </c>
      <c r="F12" s="318">
        <f t="shared" si="1"/>
        <v>135066173.48701686</v>
      </c>
      <c r="G12" s="314">
        <v>21</v>
      </c>
      <c r="H12" s="318">
        <f t="shared" si="2"/>
        <v>2836389643.227354</v>
      </c>
    </row>
    <row r="13" spans="2:9" ht="30.75" thickBot="1" x14ac:dyDescent="0.3">
      <c r="B13" s="319">
        <v>5</v>
      </c>
      <c r="C13" s="320" t="s">
        <v>357</v>
      </c>
      <c r="D13" s="321">
        <v>31331347</v>
      </c>
      <c r="E13" s="321">
        <f t="shared" si="0"/>
        <v>11214963.756051593</v>
      </c>
      <c r="F13" s="321">
        <f t="shared" si="1"/>
        <v>20116383.243948407</v>
      </c>
      <c r="G13" s="314">
        <v>21</v>
      </c>
      <c r="H13" s="321">
        <f t="shared" si="2"/>
        <v>422444048.12291658</v>
      </c>
    </row>
    <row r="14" spans="2:9" ht="15.75" thickBot="1" x14ac:dyDescent="0.3">
      <c r="B14" s="319">
        <v>6</v>
      </c>
      <c r="C14" s="320" t="s">
        <v>358</v>
      </c>
      <c r="D14" s="322">
        <v>62888496</v>
      </c>
      <c r="E14" s="322">
        <f t="shared" si="0"/>
        <v>22510752.675670009</v>
      </c>
      <c r="F14" s="322">
        <f t="shared" si="1"/>
        <v>40377743.324329987</v>
      </c>
      <c r="G14" s="323">
        <v>21</v>
      </c>
      <c r="H14" s="322">
        <f t="shared" si="2"/>
        <v>847932609.81092978</v>
      </c>
    </row>
    <row r="15" spans="2:9" ht="15.75" thickBot="1" x14ac:dyDescent="0.3">
      <c r="B15" s="311">
        <v>7</v>
      </c>
      <c r="C15" s="312" t="s">
        <v>359</v>
      </c>
      <c r="D15" s="313">
        <v>25379504</v>
      </c>
      <c r="E15" s="313">
        <f t="shared" si="0"/>
        <v>9084519.0124307908</v>
      </c>
      <c r="F15" s="313">
        <f t="shared" si="1"/>
        <v>16294984.987569209</v>
      </c>
      <c r="G15" s="314">
        <v>21</v>
      </c>
      <c r="H15" s="313">
        <f t="shared" si="2"/>
        <v>342194684.73895341</v>
      </c>
    </row>
    <row r="16" spans="2:9" ht="15.75" thickBot="1" x14ac:dyDescent="0.3">
      <c r="B16" s="311">
        <v>8</v>
      </c>
      <c r="C16" s="312" t="s">
        <v>360</v>
      </c>
      <c r="D16" s="313">
        <v>13324879</v>
      </c>
      <c r="E16" s="313">
        <f t="shared" si="0"/>
        <v>4769601.3528806465</v>
      </c>
      <c r="F16" s="313">
        <f t="shared" si="1"/>
        <v>8555277.6471193545</v>
      </c>
      <c r="G16" s="314">
        <v>21</v>
      </c>
      <c r="H16" s="313">
        <f t="shared" si="2"/>
        <v>179660830.58950645</v>
      </c>
    </row>
    <row r="17" spans="2:9" ht="15.75" thickBot="1" x14ac:dyDescent="0.3">
      <c r="B17" s="311">
        <v>9</v>
      </c>
      <c r="C17" s="312" t="s">
        <v>361</v>
      </c>
      <c r="D17" s="313">
        <v>4331159</v>
      </c>
      <c r="E17" s="313">
        <f t="shared" si="0"/>
        <v>1550325.659688256</v>
      </c>
      <c r="F17" s="313">
        <f t="shared" si="1"/>
        <v>2780833.3403117443</v>
      </c>
      <c r="G17" s="314">
        <v>21</v>
      </c>
      <c r="H17" s="313">
        <f t="shared" si="2"/>
        <v>58397500.146546632</v>
      </c>
    </row>
    <row r="18" spans="2:9" ht="15.75" thickBot="1" x14ac:dyDescent="0.3">
      <c r="B18" s="311">
        <v>10</v>
      </c>
      <c r="C18" s="312" t="s">
        <v>362</v>
      </c>
      <c r="D18" s="313">
        <v>1806009</v>
      </c>
      <c r="E18" s="313">
        <f t="shared" si="0"/>
        <v>646455.62407843431</v>
      </c>
      <c r="F18" s="313">
        <f t="shared" si="1"/>
        <v>1159553.3759215656</v>
      </c>
      <c r="G18" s="314">
        <v>21</v>
      </c>
      <c r="H18" s="313">
        <f t="shared" si="2"/>
        <v>24350620.894352876</v>
      </c>
    </row>
    <row r="19" spans="2:9" ht="20.25" customHeight="1" thickBot="1" x14ac:dyDescent="0.3">
      <c r="B19" s="366" t="s">
        <v>363</v>
      </c>
      <c r="C19" s="367"/>
      <c r="D19" s="324">
        <f>SUM(D9:D18)</f>
        <v>443954050</v>
      </c>
      <c r="E19" s="324">
        <f t="shared" si="0"/>
        <v>158912049.97034812</v>
      </c>
      <c r="F19" s="324">
        <f t="shared" si="1"/>
        <v>285042000.02965188</v>
      </c>
      <c r="G19" s="325">
        <v>21</v>
      </c>
      <c r="H19" s="324">
        <f t="shared" si="2"/>
        <v>5985882000.6226892</v>
      </c>
      <c r="I19" s="315"/>
    </row>
    <row r="20" spans="2:9" ht="15.75" thickBot="1" x14ac:dyDescent="0.3">
      <c r="B20" s="368" t="s">
        <v>364</v>
      </c>
      <c r="C20" s="369"/>
      <c r="D20" s="326"/>
      <c r="E20" s="326"/>
      <c r="F20" s="326"/>
      <c r="G20" s="327"/>
      <c r="H20" s="326"/>
    </row>
    <row r="21" spans="2:9" ht="45.75" thickBot="1" x14ac:dyDescent="0.3">
      <c r="B21" s="311">
        <v>1</v>
      </c>
      <c r="C21" s="312" t="s">
        <v>365</v>
      </c>
      <c r="D21" s="313">
        <v>63536004</v>
      </c>
      <c r="E21" s="313">
        <f t="shared" si="0"/>
        <v>22742526.264968723</v>
      </c>
      <c r="F21" s="313">
        <f t="shared" si="1"/>
        <v>40793477.735031277</v>
      </c>
      <c r="G21" s="314">
        <v>21</v>
      </c>
      <c r="H21" s="313">
        <f t="shared" si="2"/>
        <v>856663032.43565679</v>
      </c>
    </row>
    <row r="22" spans="2:9" ht="15.75" thickBot="1" x14ac:dyDescent="0.3">
      <c r="B22" s="311">
        <v>2</v>
      </c>
      <c r="C22" s="312" t="s">
        <v>366</v>
      </c>
      <c r="D22" s="313">
        <v>3371252</v>
      </c>
      <c r="E22" s="313">
        <f t="shared" si="0"/>
        <v>1206729.7646831605</v>
      </c>
      <c r="F22" s="313">
        <f t="shared" si="1"/>
        <v>2164522.2353168395</v>
      </c>
      <c r="G22" s="314">
        <v>21</v>
      </c>
      <c r="H22" s="313">
        <f t="shared" si="2"/>
        <v>45454966.941653632</v>
      </c>
    </row>
    <row r="23" spans="2:9" ht="15.75" thickBot="1" x14ac:dyDescent="0.3">
      <c r="B23" s="368" t="s">
        <v>367</v>
      </c>
      <c r="C23" s="369"/>
      <c r="D23" s="328">
        <f>D21+D22</f>
        <v>66907256</v>
      </c>
      <c r="E23" s="328">
        <f t="shared" si="0"/>
        <v>23949256.029651884</v>
      </c>
      <c r="F23" s="328">
        <f t="shared" si="1"/>
        <v>42957999.97034812</v>
      </c>
      <c r="G23" s="329">
        <v>21</v>
      </c>
      <c r="H23" s="328">
        <f t="shared" si="2"/>
        <v>902117999.37731051</v>
      </c>
      <c r="I23" s="315"/>
    </row>
    <row r="24" spans="2:9" ht="15.75" thickBot="1" x14ac:dyDescent="0.3">
      <c r="B24" s="330"/>
      <c r="C24" s="331" t="s">
        <v>368</v>
      </c>
      <c r="D24" s="332">
        <f>D19+D23</f>
        <v>510861306</v>
      </c>
      <c r="E24" s="332">
        <f t="shared" si="0"/>
        <v>182861306</v>
      </c>
      <c r="F24" s="332">
        <f t="shared" si="1"/>
        <v>328000000</v>
      </c>
      <c r="G24" s="333">
        <v>21</v>
      </c>
      <c r="H24" s="332">
        <f t="shared" si="2"/>
        <v>6888000000</v>
      </c>
      <c r="I24" s="315"/>
    </row>
    <row r="26" spans="2:9" x14ac:dyDescent="0.25">
      <c r="F26" s="315" t="s">
        <v>369</v>
      </c>
    </row>
  </sheetData>
  <mergeCells count="6">
    <mergeCell ref="B23:C23"/>
    <mergeCell ref="B5:H5"/>
    <mergeCell ref="C6:H6"/>
    <mergeCell ref="B8:C8"/>
    <mergeCell ref="B19:C19"/>
    <mergeCell ref="B20:C2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3"/>
  <sheetViews>
    <sheetView workbookViewId="0">
      <selection activeCell="B1" sqref="B1"/>
    </sheetView>
  </sheetViews>
  <sheetFormatPr baseColWidth="10" defaultRowHeight="15" x14ac:dyDescent="0.25"/>
  <cols>
    <col min="2" max="2" width="32.42578125" bestFit="1" customWidth="1"/>
    <col min="3" max="3" width="36.5703125" customWidth="1"/>
    <col min="4" max="4" width="16.28515625" bestFit="1" customWidth="1"/>
    <col min="5" max="5" width="13" customWidth="1"/>
    <col min="8" max="8" width="15.140625" bestFit="1" customWidth="1"/>
    <col min="10" max="10" width="15.140625" bestFit="1" customWidth="1"/>
  </cols>
  <sheetData>
    <row r="1" spans="2:4" ht="15.75" thickBot="1" x14ac:dyDescent="0.3">
      <c r="B1" s="116" t="s">
        <v>122</v>
      </c>
    </row>
    <row r="2" spans="2:4" ht="15.75" thickBot="1" x14ac:dyDescent="0.3">
      <c r="B2" s="117" t="s">
        <v>123</v>
      </c>
      <c r="C2" s="118" t="s">
        <v>124</v>
      </c>
      <c r="D2" s="118" t="s">
        <v>125</v>
      </c>
    </row>
    <row r="3" spans="2:4" ht="15.75" thickBot="1" x14ac:dyDescent="0.3">
      <c r="B3" s="119">
        <v>2016</v>
      </c>
      <c r="C3" s="120" t="s">
        <v>126</v>
      </c>
      <c r="D3" s="121">
        <v>57779136</v>
      </c>
    </row>
    <row r="4" spans="2:4" x14ac:dyDescent="0.25">
      <c r="B4" s="334">
        <v>2017</v>
      </c>
      <c r="C4" s="122" t="s">
        <v>126</v>
      </c>
      <c r="D4" s="336">
        <v>22533000</v>
      </c>
    </row>
    <row r="5" spans="2:4" ht="15.75" thickBot="1" x14ac:dyDescent="0.3">
      <c r="B5" s="335"/>
      <c r="C5" s="120" t="s">
        <v>127</v>
      </c>
      <c r="D5" s="337"/>
    </row>
    <row r="6" spans="2:4" x14ac:dyDescent="0.25">
      <c r="B6" s="116"/>
    </row>
    <row r="7" spans="2:4" x14ac:dyDescent="0.25">
      <c r="B7" s="116" t="s">
        <v>128</v>
      </c>
    </row>
    <row r="8" spans="2:4" ht="15.75" thickBot="1" x14ac:dyDescent="0.3">
      <c r="B8" s="116"/>
    </row>
    <row r="9" spans="2:4" ht="15.75" thickBot="1" x14ac:dyDescent="0.3">
      <c r="B9" s="117" t="s">
        <v>123</v>
      </c>
      <c r="C9" s="118" t="s">
        <v>124</v>
      </c>
      <c r="D9" s="118" t="s">
        <v>125</v>
      </c>
    </row>
    <row r="10" spans="2:4" x14ac:dyDescent="0.25">
      <c r="B10" s="334">
        <v>2016</v>
      </c>
      <c r="C10" s="122" t="s">
        <v>129</v>
      </c>
      <c r="D10" s="336">
        <v>132999994</v>
      </c>
    </row>
    <row r="11" spans="2:4" ht="60.75" thickBot="1" x14ac:dyDescent="0.3">
      <c r="B11" s="335"/>
      <c r="C11" s="120" t="s">
        <v>130</v>
      </c>
      <c r="D11" s="337"/>
    </row>
    <row r="12" spans="2:4" x14ac:dyDescent="0.25">
      <c r="B12" s="116"/>
    </row>
    <row r="13" spans="2:4" x14ac:dyDescent="0.25">
      <c r="B13" s="116"/>
    </row>
  </sheetData>
  <mergeCells count="4">
    <mergeCell ref="B4:B5"/>
    <mergeCell ref="D4:D5"/>
    <mergeCell ref="B10:B11"/>
    <mergeCell ref="D10:D1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A4" sqref="A4"/>
    </sheetView>
  </sheetViews>
  <sheetFormatPr baseColWidth="10" defaultRowHeight="15" x14ac:dyDescent="0.25"/>
  <cols>
    <col min="1" max="1" width="27.140625" bestFit="1" customWidth="1"/>
    <col min="2" max="2" width="8.5703125" bestFit="1" customWidth="1"/>
    <col min="3" max="3" width="14" bestFit="1" customWidth="1"/>
    <col min="4" max="4" width="18.140625" bestFit="1" customWidth="1"/>
  </cols>
  <sheetData>
    <row r="1" spans="1:4" x14ac:dyDescent="0.25">
      <c r="A1" s="162" t="s">
        <v>193</v>
      </c>
      <c r="B1" s="163" t="s">
        <v>77</v>
      </c>
      <c r="C1" s="163" t="s">
        <v>194</v>
      </c>
      <c r="D1" s="164" t="s">
        <v>195</v>
      </c>
    </row>
    <row r="2" spans="1:4" x14ac:dyDescent="0.25">
      <c r="A2" s="158" t="s">
        <v>197</v>
      </c>
      <c r="B2" s="157">
        <v>10</v>
      </c>
      <c r="C2" s="148">
        <v>172000</v>
      </c>
      <c r="D2" s="159">
        <v>1720000</v>
      </c>
    </row>
    <row r="3" spans="1:4" x14ac:dyDescent="0.25">
      <c r="A3" s="158" t="s">
        <v>196</v>
      </c>
      <c r="B3" s="157">
        <v>14</v>
      </c>
      <c r="C3" s="148">
        <v>1022876</v>
      </c>
      <c r="D3" s="159">
        <v>14320264</v>
      </c>
    </row>
    <row r="4" spans="1:4" ht="15.75" thickBot="1" x14ac:dyDescent="0.3">
      <c r="A4" s="165" t="s">
        <v>67</v>
      </c>
      <c r="B4" s="90"/>
      <c r="C4" s="160">
        <f>SUM(C2:C3)</f>
        <v>1194876</v>
      </c>
      <c r="D4" s="161">
        <f>SUM(D2:D3)</f>
        <v>16040264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B7" sqref="B7"/>
    </sheetView>
  </sheetViews>
  <sheetFormatPr baseColWidth="10" defaultRowHeight="15" x14ac:dyDescent="0.25"/>
  <cols>
    <col min="1" max="1" width="33.140625" bestFit="1" customWidth="1"/>
    <col min="2" max="2" width="30.7109375" bestFit="1" customWidth="1"/>
  </cols>
  <sheetData>
    <row r="1" spans="1:2" x14ac:dyDescent="0.25">
      <c r="A1" s="70" t="s">
        <v>78</v>
      </c>
      <c r="B1" s="70" t="s">
        <v>83</v>
      </c>
    </row>
    <row r="2" spans="1:2" x14ac:dyDescent="0.25">
      <c r="A2" s="71" t="s">
        <v>79</v>
      </c>
      <c r="B2" s="72">
        <f>((261834852+60313747)/10)*12</f>
        <v>386578318.79999995</v>
      </c>
    </row>
    <row r="3" spans="1:2" x14ac:dyDescent="0.25">
      <c r="A3" s="71" t="s">
        <v>80</v>
      </c>
      <c r="B3" s="72">
        <f>((101380376+74358832)/10)*12</f>
        <v>210887049.60000002</v>
      </c>
    </row>
    <row r="4" spans="1:2" x14ac:dyDescent="0.25">
      <c r="A4" s="71" t="s">
        <v>81</v>
      </c>
      <c r="B4" s="72">
        <v>13651720</v>
      </c>
    </row>
    <row r="5" spans="1:2" x14ac:dyDescent="0.25">
      <c r="A5" s="71" t="s">
        <v>82</v>
      </c>
      <c r="B5" s="72">
        <v>694853</v>
      </c>
    </row>
    <row r="6" spans="1:2" ht="15.75" thickBot="1" x14ac:dyDescent="0.3"/>
    <row r="7" spans="1:2" ht="15.75" thickBot="1" x14ac:dyDescent="0.3">
      <c r="A7" s="149" t="s">
        <v>88</v>
      </c>
      <c r="B7" s="150">
        <f>SUM(B2:B6)</f>
        <v>611811941.39999998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opLeftCell="A5" workbookViewId="0">
      <selection activeCell="F24" sqref="F24"/>
    </sheetView>
  </sheetViews>
  <sheetFormatPr baseColWidth="10" defaultRowHeight="15" x14ac:dyDescent="0.25"/>
  <cols>
    <col min="2" max="2" width="11.42578125" customWidth="1"/>
    <col min="3" max="3" width="85.85546875" customWidth="1"/>
    <col min="4" max="4" width="13.42578125" customWidth="1"/>
    <col min="5" max="5" width="17.85546875" bestFit="1" customWidth="1"/>
    <col min="6" max="6" width="16.28515625" bestFit="1" customWidth="1"/>
    <col min="8" max="8" width="22.140625" bestFit="1" customWidth="1"/>
    <col min="9" max="9" width="18.42578125" bestFit="1" customWidth="1"/>
    <col min="10" max="10" width="17.85546875" bestFit="1" customWidth="1"/>
  </cols>
  <sheetData>
    <row r="1" spans="2:10" x14ac:dyDescent="0.25">
      <c r="H1" t="s">
        <v>131</v>
      </c>
      <c r="I1" s="123">
        <v>3000</v>
      </c>
    </row>
    <row r="2" spans="2:10" x14ac:dyDescent="0.25">
      <c r="B2" s="338" t="s">
        <v>188</v>
      </c>
      <c r="C2" s="339"/>
      <c r="D2" s="339"/>
      <c r="E2" s="339"/>
      <c r="F2" s="340"/>
      <c r="I2" s="124" t="s">
        <v>132</v>
      </c>
      <c r="J2" s="124" t="s">
        <v>133</v>
      </c>
    </row>
    <row r="3" spans="2:10" x14ac:dyDescent="0.25">
      <c r="B3" s="125" t="s">
        <v>77</v>
      </c>
      <c r="C3" s="126" t="s">
        <v>134</v>
      </c>
      <c r="D3" s="124" t="s">
        <v>135</v>
      </c>
      <c r="E3" s="124" t="s">
        <v>136</v>
      </c>
      <c r="F3" s="124" t="s">
        <v>137</v>
      </c>
      <c r="H3" s="124" t="s">
        <v>138</v>
      </c>
      <c r="I3" s="127">
        <v>1012004.2</v>
      </c>
      <c r="J3" s="127">
        <v>3036012600</v>
      </c>
    </row>
    <row r="4" spans="2:10" x14ac:dyDescent="0.25">
      <c r="B4" s="71">
        <v>1</v>
      </c>
      <c r="C4" s="71" t="s">
        <v>139</v>
      </c>
      <c r="D4" s="128">
        <v>936</v>
      </c>
      <c r="E4" s="129">
        <f>D4*B4</f>
        <v>936</v>
      </c>
      <c r="F4" s="127">
        <f>E4*$I$1</f>
        <v>2808000</v>
      </c>
      <c r="H4" s="124" t="s">
        <v>191</v>
      </c>
      <c r="I4" s="127">
        <v>784128</v>
      </c>
      <c r="J4" s="127">
        <v>2352384000</v>
      </c>
    </row>
    <row r="5" spans="2:10" x14ac:dyDescent="0.25">
      <c r="B5" s="71">
        <v>4</v>
      </c>
      <c r="C5" s="71" t="s">
        <v>140</v>
      </c>
      <c r="D5" s="129">
        <v>173</v>
      </c>
      <c r="E5" s="129">
        <f t="shared" ref="E5:E10" si="0">D5*B5</f>
        <v>692</v>
      </c>
      <c r="F5" s="127">
        <f t="shared" ref="F5:F11" si="1">E5*$I$1</f>
        <v>2076000</v>
      </c>
    </row>
    <row r="6" spans="2:10" x14ac:dyDescent="0.25">
      <c r="B6" s="71">
        <v>80</v>
      </c>
      <c r="C6" s="71" t="s">
        <v>141</v>
      </c>
      <c r="D6" s="129">
        <v>1317</v>
      </c>
      <c r="E6" s="129">
        <f t="shared" si="0"/>
        <v>105360</v>
      </c>
      <c r="F6" s="127">
        <f t="shared" si="1"/>
        <v>316080000</v>
      </c>
    </row>
    <row r="7" spans="2:10" x14ac:dyDescent="0.25">
      <c r="B7" s="71">
        <v>80</v>
      </c>
      <c r="C7" s="71" t="s">
        <v>142</v>
      </c>
      <c r="D7" s="129">
        <v>679</v>
      </c>
      <c r="E7" s="129">
        <f t="shared" si="0"/>
        <v>54320</v>
      </c>
      <c r="F7" s="127">
        <f t="shared" si="1"/>
        <v>162960000</v>
      </c>
    </row>
    <row r="8" spans="2:10" x14ac:dyDescent="0.25">
      <c r="B8" s="71">
        <v>20</v>
      </c>
      <c r="C8" s="71" t="s">
        <v>144</v>
      </c>
      <c r="D8" s="129">
        <v>227</v>
      </c>
      <c r="E8" s="129">
        <f t="shared" si="0"/>
        <v>4540</v>
      </c>
      <c r="F8" s="127">
        <f t="shared" si="1"/>
        <v>13620000</v>
      </c>
    </row>
    <row r="9" spans="2:10" x14ac:dyDescent="0.25">
      <c r="B9" s="71">
        <v>1</v>
      </c>
      <c r="C9" s="71" t="s">
        <v>143</v>
      </c>
      <c r="D9" s="129">
        <v>1211</v>
      </c>
      <c r="E9" s="129">
        <f t="shared" si="0"/>
        <v>1211</v>
      </c>
      <c r="F9" s="127">
        <f t="shared" si="1"/>
        <v>3633000</v>
      </c>
    </row>
    <row r="10" spans="2:10" x14ac:dyDescent="0.25">
      <c r="B10" s="71">
        <v>20</v>
      </c>
      <c r="C10" s="71" t="s">
        <v>189</v>
      </c>
      <c r="D10" s="130">
        <v>3594</v>
      </c>
      <c r="E10" s="130">
        <f t="shared" si="0"/>
        <v>71880</v>
      </c>
      <c r="F10" s="127">
        <f t="shared" si="1"/>
        <v>215640000</v>
      </c>
      <c r="I10" s="131"/>
    </row>
    <row r="11" spans="2:10" x14ac:dyDescent="0.25">
      <c r="B11" s="69"/>
      <c r="C11" s="69"/>
      <c r="D11" s="132"/>
      <c r="E11" s="151">
        <f>SUM(E4:E10)</f>
        <v>238939</v>
      </c>
      <c r="F11" s="152">
        <f t="shared" si="1"/>
        <v>716817000</v>
      </c>
    </row>
    <row r="12" spans="2:10" x14ac:dyDescent="0.25">
      <c r="B12" s="69"/>
      <c r="C12" s="69"/>
      <c r="D12" s="132"/>
      <c r="E12" s="151">
        <f>+E11/$A$22</f>
        <v>119469.5</v>
      </c>
      <c r="F12" s="151">
        <f>+F11/$A$22</f>
        <v>358408500</v>
      </c>
    </row>
    <row r="13" spans="2:10" x14ac:dyDescent="0.25">
      <c r="B13" s="338" t="s">
        <v>192</v>
      </c>
      <c r="C13" s="339"/>
      <c r="D13" s="339"/>
      <c r="E13" s="339"/>
      <c r="F13" s="340"/>
    </row>
    <row r="14" spans="2:10" x14ac:dyDescent="0.25">
      <c r="B14" s="125" t="s">
        <v>77</v>
      </c>
      <c r="C14" s="126" t="s">
        <v>134</v>
      </c>
      <c r="D14" s="124" t="s">
        <v>135</v>
      </c>
      <c r="E14" s="124" t="s">
        <v>136</v>
      </c>
      <c r="F14" s="124" t="s">
        <v>137</v>
      </c>
    </row>
    <row r="15" spans="2:10" x14ac:dyDescent="0.25">
      <c r="B15" s="71">
        <v>1</v>
      </c>
      <c r="C15" s="71" t="s">
        <v>139</v>
      </c>
      <c r="D15" s="128">
        <v>936</v>
      </c>
      <c r="E15" s="129">
        <f>D15*B15</f>
        <v>936</v>
      </c>
      <c r="F15" s="127">
        <f>E15*$I$1</f>
        <v>2808000</v>
      </c>
    </row>
    <row r="16" spans="2:10" x14ac:dyDescent="0.25">
      <c r="B16" s="71">
        <v>4</v>
      </c>
      <c r="C16" s="71" t="s">
        <v>140</v>
      </c>
      <c r="D16" s="129">
        <v>173</v>
      </c>
      <c r="E16" s="129">
        <f t="shared" ref="E16:E19" si="2">D16*B16</f>
        <v>692</v>
      </c>
      <c r="F16" s="127">
        <f t="shared" ref="F16:F20" si="3">E16*$I$1</f>
        <v>2076000</v>
      </c>
    </row>
    <row r="17" spans="1:6" x14ac:dyDescent="0.25">
      <c r="B17" s="71">
        <v>80</v>
      </c>
      <c r="C17" s="71" t="s">
        <v>141</v>
      </c>
      <c r="D17" s="129">
        <v>2545</v>
      </c>
      <c r="E17" s="129">
        <f t="shared" si="2"/>
        <v>203600</v>
      </c>
      <c r="F17" s="127">
        <f t="shared" si="3"/>
        <v>610800000</v>
      </c>
    </row>
    <row r="18" spans="1:6" x14ac:dyDescent="0.25">
      <c r="B18" s="71">
        <v>80</v>
      </c>
      <c r="C18" s="71" t="s">
        <v>142</v>
      </c>
      <c r="D18" s="129">
        <v>1952</v>
      </c>
      <c r="E18" s="129">
        <f t="shared" si="2"/>
        <v>156160</v>
      </c>
      <c r="F18" s="127">
        <f t="shared" si="3"/>
        <v>468480000</v>
      </c>
    </row>
    <row r="19" spans="1:6" x14ac:dyDescent="0.25">
      <c r="B19" s="71">
        <v>10</v>
      </c>
      <c r="C19" s="71" t="s">
        <v>144</v>
      </c>
      <c r="D19" s="129">
        <v>227</v>
      </c>
      <c r="E19" s="129">
        <f t="shared" si="2"/>
        <v>2270</v>
      </c>
      <c r="F19" s="127">
        <f t="shared" si="3"/>
        <v>6810000</v>
      </c>
    </row>
    <row r="20" spans="1:6" x14ac:dyDescent="0.25">
      <c r="E20" s="127">
        <f>SUM(E15:E19)</f>
        <v>363658</v>
      </c>
      <c r="F20" s="133">
        <f t="shared" si="3"/>
        <v>1090974000</v>
      </c>
    </row>
    <row r="21" spans="1:6" x14ac:dyDescent="0.25">
      <c r="E21" s="127">
        <f>+E20/$A$22</f>
        <v>181829</v>
      </c>
      <c r="F21" s="127">
        <f>+F20/$A$22</f>
        <v>545487000</v>
      </c>
    </row>
    <row r="22" spans="1:6" ht="15.75" thickBot="1" x14ac:dyDescent="0.3">
      <c r="A22">
        <v>2</v>
      </c>
      <c r="B22" t="s">
        <v>302</v>
      </c>
    </row>
    <row r="23" spans="1:6" ht="15.75" thickBot="1" x14ac:dyDescent="0.3">
      <c r="C23" s="153" t="s">
        <v>190</v>
      </c>
      <c r="D23" s="154"/>
      <c r="E23" s="155">
        <f>+E11+E20</f>
        <v>602597</v>
      </c>
      <c r="F23" s="156">
        <f>+F11+F20</f>
        <v>1807791000</v>
      </c>
    </row>
    <row r="24" spans="1:6" ht="15.75" thickBot="1" x14ac:dyDescent="0.3">
      <c r="C24" s="153" t="s">
        <v>303</v>
      </c>
      <c r="E24" s="155">
        <f>+E12+E21</f>
        <v>301298.5</v>
      </c>
      <c r="F24" s="155">
        <f>+F12+F21</f>
        <v>903895500</v>
      </c>
    </row>
  </sheetData>
  <mergeCells count="2">
    <mergeCell ref="B2:F2"/>
    <mergeCell ref="B13:F1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workbookViewId="0">
      <selection activeCell="B13" sqref="B13"/>
    </sheetView>
  </sheetViews>
  <sheetFormatPr baseColWidth="10" defaultColWidth="9.140625" defaultRowHeight="15" x14ac:dyDescent="0.25"/>
  <cols>
    <col min="1" max="1" width="51.140625" bestFit="1" customWidth="1"/>
    <col min="2" max="2" width="22.140625" bestFit="1" customWidth="1"/>
    <col min="3" max="3" width="13.85546875" bestFit="1" customWidth="1"/>
    <col min="4" max="4" width="14.140625" customWidth="1"/>
    <col min="5" max="5" width="7.5703125" customWidth="1"/>
    <col min="6" max="7" width="12.5703125" bestFit="1" customWidth="1"/>
  </cols>
  <sheetData>
    <row r="1" spans="1:20" ht="15.75" thickBot="1" x14ac:dyDescent="0.3">
      <c r="A1" s="79"/>
      <c r="B1" s="80" t="s">
        <v>134</v>
      </c>
      <c r="C1" s="80" t="s">
        <v>145</v>
      </c>
      <c r="D1" s="80" t="s">
        <v>146</v>
      </c>
      <c r="E1" s="80" t="s">
        <v>147</v>
      </c>
      <c r="F1" s="80" t="s">
        <v>148</v>
      </c>
      <c r="G1" s="78" t="s">
        <v>149</v>
      </c>
      <c r="T1" s="134"/>
    </row>
    <row r="2" spans="1:20" x14ac:dyDescent="0.25">
      <c r="A2" s="341" t="s">
        <v>150</v>
      </c>
      <c r="B2" s="210" t="s">
        <v>151</v>
      </c>
      <c r="C2" s="199">
        <v>32405</v>
      </c>
      <c r="D2" s="200">
        <v>97628</v>
      </c>
      <c r="E2" s="201" t="s">
        <v>187</v>
      </c>
      <c r="F2" s="202">
        <f>IF(E2="R",C2,IF(E2="N",D2,0))</f>
        <v>32405</v>
      </c>
      <c r="G2" s="344">
        <f>SUM(F2:F17)*1.16</f>
        <v>1559869.4</v>
      </c>
      <c r="T2" s="134" t="s">
        <v>152</v>
      </c>
    </row>
    <row r="3" spans="1:20" x14ac:dyDescent="0.25">
      <c r="A3" s="342"/>
      <c r="B3" s="209" t="s">
        <v>153</v>
      </c>
      <c r="C3" s="136">
        <v>46529</v>
      </c>
      <c r="D3" s="137">
        <v>138758</v>
      </c>
      <c r="E3" s="142" t="s">
        <v>187</v>
      </c>
      <c r="F3" s="203">
        <f t="shared" ref="F3:F17" si="0">IF(E3="R",C3,IF(E3="N",D3,0))</f>
        <v>46529</v>
      </c>
      <c r="G3" s="344"/>
      <c r="T3" s="134" t="s">
        <v>154</v>
      </c>
    </row>
    <row r="4" spans="1:20" x14ac:dyDescent="0.25">
      <c r="A4" s="342"/>
      <c r="B4" s="209" t="s">
        <v>155</v>
      </c>
      <c r="C4" s="136">
        <v>75611</v>
      </c>
      <c r="D4" s="137">
        <v>226418</v>
      </c>
      <c r="E4" s="142" t="s">
        <v>187</v>
      </c>
      <c r="F4" s="203">
        <f t="shared" si="0"/>
        <v>75611</v>
      </c>
      <c r="G4" s="344"/>
      <c r="T4" s="134" t="s">
        <v>156</v>
      </c>
    </row>
    <row r="5" spans="1:20" x14ac:dyDescent="0.25">
      <c r="A5" s="342"/>
      <c r="B5" s="209" t="s">
        <v>157</v>
      </c>
      <c r="C5" s="136">
        <v>105522</v>
      </c>
      <c r="D5" s="137">
        <v>316154</v>
      </c>
      <c r="E5" s="142" t="s">
        <v>187</v>
      </c>
      <c r="F5" s="203">
        <f t="shared" si="0"/>
        <v>105522</v>
      </c>
      <c r="G5" s="344"/>
      <c r="T5" s="134"/>
    </row>
    <row r="6" spans="1:20" ht="15.75" thickBot="1" x14ac:dyDescent="0.3">
      <c r="A6" s="343"/>
      <c r="B6" s="211" t="s">
        <v>158</v>
      </c>
      <c r="C6" s="204">
        <v>291144</v>
      </c>
      <c r="D6" s="205">
        <v>660557</v>
      </c>
      <c r="E6" s="206" t="s">
        <v>187</v>
      </c>
      <c r="F6" s="207">
        <f t="shared" si="0"/>
        <v>291144</v>
      </c>
      <c r="G6" s="344"/>
      <c r="T6" s="134" t="s">
        <v>159</v>
      </c>
    </row>
    <row r="7" spans="1:20" x14ac:dyDescent="0.25">
      <c r="A7" s="346" t="s">
        <v>160</v>
      </c>
      <c r="B7" s="195" t="s">
        <v>161</v>
      </c>
      <c r="C7" s="196">
        <v>46529</v>
      </c>
      <c r="D7" s="197">
        <v>139174</v>
      </c>
      <c r="E7" s="140"/>
      <c r="F7" s="198">
        <f t="shared" si="0"/>
        <v>0</v>
      </c>
      <c r="G7" s="345"/>
      <c r="T7" s="134"/>
    </row>
    <row r="8" spans="1:20" x14ac:dyDescent="0.25">
      <c r="A8" s="347"/>
      <c r="B8" s="135" t="s">
        <v>162</v>
      </c>
      <c r="C8" s="136">
        <v>93059</v>
      </c>
      <c r="D8" s="137">
        <v>278347</v>
      </c>
      <c r="E8" s="138"/>
      <c r="F8" s="139">
        <f t="shared" si="0"/>
        <v>0</v>
      </c>
      <c r="G8" s="345"/>
      <c r="T8" s="134"/>
    </row>
    <row r="9" spans="1:20" x14ac:dyDescent="0.25">
      <c r="A9" s="348" t="s">
        <v>163</v>
      </c>
      <c r="B9" s="71" t="s">
        <v>164</v>
      </c>
      <c r="C9" s="136">
        <v>658895</v>
      </c>
      <c r="D9" s="137">
        <v>1795139</v>
      </c>
      <c r="E9" s="138"/>
      <c r="F9" s="139">
        <f t="shared" si="0"/>
        <v>0</v>
      </c>
      <c r="G9" s="345"/>
      <c r="T9" s="134"/>
    </row>
    <row r="10" spans="1:20" x14ac:dyDescent="0.25">
      <c r="A10" s="348"/>
      <c r="B10" s="71" t="s">
        <v>165</v>
      </c>
      <c r="C10" s="136">
        <v>1217254</v>
      </c>
      <c r="D10" s="137">
        <v>3316500</v>
      </c>
      <c r="E10" s="138"/>
      <c r="F10" s="139">
        <f t="shared" si="0"/>
        <v>0</v>
      </c>
      <c r="G10" s="345"/>
      <c r="T10" s="134"/>
    </row>
    <row r="11" spans="1:20" x14ac:dyDescent="0.25">
      <c r="A11" s="348"/>
      <c r="B11" s="71" t="s">
        <v>166</v>
      </c>
      <c r="C11" s="136">
        <v>624830</v>
      </c>
      <c r="D11" s="137">
        <v>1702079</v>
      </c>
      <c r="E11" s="138"/>
      <c r="F11" s="139">
        <f t="shared" si="0"/>
        <v>0</v>
      </c>
      <c r="G11" s="345"/>
    </row>
    <row r="12" spans="1:20" x14ac:dyDescent="0.25">
      <c r="A12" s="348" t="s">
        <v>95</v>
      </c>
      <c r="B12" s="71" t="s">
        <v>167</v>
      </c>
      <c r="C12" s="136">
        <v>2099661</v>
      </c>
      <c r="D12" s="137">
        <v>2544602</v>
      </c>
      <c r="E12" s="138"/>
      <c r="F12" s="139">
        <f t="shared" si="0"/>
        <v>0</v>
      </c>
      <c r="G12" s="345"/>
    </row>
    <row r="13" spans="1:20" x14ac:dyDescent="0.25">
      <c r="A13" s="348"/>
      <c r="B13" s="71" t="s">
        <v>168</v>
      </c>
      <c r="C13" s="136">
        <v>10827723</v>
      </c>
      <c r="D13" s="137">
        <v>29495213</v>
      </c>
      <c r="E13" s="138"/>
      <c r="F13" s="139">
        <f t="shared" si="0"/>
        <v>0</v>
      </c>
      <c r="G13" s="345"/>
    </row>
    <row r="14" spans="1:20" x14ac:dyDescent="0.25">
      <c r="A14" s="348"/>
      <c r="B14" s="71" t="s">
        <v>169</v>
      </c>
      <c r="C14" s="136">
        <v>2110462</v>
      </c>
      <c r="D14" s="137">
        <v>5748518</v>
      </c>
      <c r="E14" s="138"/>
      <c r="F14" s="139">
        <f t="shared" si="0"/>
        <v>0</v>
      </c>
      <c r="G14" s="345"/>
    </row>
    <row r="15" spans="1:20" x14ac:dyDescent="0.25">
      <c r="A15" s="348"/>
      <c r="B15" s="209" t="s">
        <v>170</v>
      </c>
      <c r="C15" s="136">
        <v>188611</v>
      </c>
      <c r="D15" s="137">
        <v>565836</v>
      </c>
      <c r="E15" s="138" t="s">
        <v>187</v>
      </c>
      <c r="F15" s="139">
        <f t="shared" si="0"/>
        <v>188611</v>
      </c>
      <c r="G15" s="345"/>
    </row>
    <row r="16" spans="1:20" x14ac:dyDescent="0.25">
      <c r="A16" s="348"/>
      <c r="B16" s="209" t="s">
        <v>171</v>
      </c>
      <c r="C16" s="136">
        <v>432893</v>
      </c>
      <c r="D16" s="137">
        <v>1299513</v>
      </c>
      <c r="E16" s="138" t="s">
        <v>187</v>
      </c>
      <c r="F16" s="139">
        <f t="shared" si="0"/>
        <v>432893</v>
      </c>
      <c r="G16" s="345"/>
    </row>
    <row r="17" spans="1:7" x14ac:dyDescent="0.25">
      <c r="A17" s="138" t="s">
        <v>172</v>
      </c>
      <c r="B17" s="209" t="s">
        <v>87</v>
      </c>
      <c r="C17" s="136">
        <v>172000</v>
      </c>
      <c r="D17" s="137">
        <v>250000</v>
      </c>
      <c r="E17" s="138" t="s">
        <v>187</v>
      </c>
      <c r="F17" s="144">
        <f t="shared" si="0"/>
        <v>172000</v>
      </c>
      <c r="G17" s="345"/>
    </row>
    <row r="18" spans="1:7" x14ac:dyDescent="0.25">
      <c r="A18" t="s">
        <v>280</v>
      </c>
      <c r="B18" s="208">
        <v>0.16</v>
      </c>
    </row>
    <row r="19" spans="1:7" x14ac:dyDescent="0.25">
      <c r="A19" t="s">
        <v>173</v>
      </c>
    </row>
    <row r="20" spans="1:7" x14ac:dyDescent="0.25">
      <c r="A20" t="s">
        <v>174</v>
      </c>
      <c r="D20" s="145"/>
    </row>
    <row r="21" spans="1:7" x14ac:dyDescent="0.25">
      <c r="A21" t="s">
        <v>175</v>
      </c>
      <c r="D21" s="145"/>
    </row>
    <row r="22" spans="1:7" x14ac:dyDescent="0.25">
      <c r="A22" s="146"/>
      <c r="D22" s="145"/>
      <c r="F22" s="145"/>
    </row>
  </sheetData>
  <mergeCells count="5">
    <mergeCell ref="A2:A6"/>
    <mergeCell ref="G2:G17"/>
    <mergeCell ref="A7:A8"/>
    <mergeCell ref="A9:A11"/>
    <mergeCell ref="A12:A16"/>
  </mergeCells>
  <conditionalFormatting sqref="F2:F17">
    <cfRule type="cellIs" dxfId="2" priority="2" operator="equal">
      <formula>0</formula>
    </cfRule>
  </conditionalFormatting>
  <conditionalFormatting sqref="G2:G17">
    <cfRule type="cellIs" dxfId="1" priority="1" operator="equal">
      <formula>0</formula>
    </cfRule>
  </conditionalFormatting>
  <dataValidations count="1">
    <dataValidation type="list" allowBlank="1" showInputMessage="1" showErrorMessage="1" sqref="E2:E17">
      <formula1>"N,R"</formula1>
    </dataValidation>
  </dataValidation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9"/>
  <sheetViews>
    <sheetView topLeftCell="A28" zoomScale="106" zoomScaleNormal="106" workbookViewId="0">
      <selection activeCell="A2" sqref="A2"/>
    </sheetView>
  </sheetViews>
  <sheetFormatPr baseColWidth="10" defaultColWidth="9.140625" defaultRowHeight="15" x14ac:dyDescent="0.25"/>
  <cols>
    <col min="1" max="1" width="51.140625" bestFit="1" customWidth="1"/>
    <col min="2" max="2" width="18" bestFit="1" customWidth="1"/>
    <col min="3" max="3" width="16.7109375" bestFit="1" customWidth="1"/>
    <col min="4" max="4" width="12.28515625" bestFit="1" customWidth="1"/>
    <col min="5" max="6" width="12.5703125" bestFit="1" customWidth="1"/>
    <col min="7" max="7" width="14.42578125" bestFit="1" customWidth="1"/>
    <col min="8" max="8" width="15.140625" bestFit="1" customWidth="1"/>
    <col min="9" max="9" width="15.140625" customWidth="1"/>
    <col min="10" max="10" width="18" bestFit="1" customWidth="1"/>
    <col min="11" max="12" width="15.140625" bestFit="1" customWidth="1"/>
    <col min="13" max="13" width="15.42578125" bestFit="1" customWidth="1"/>
  </cols>
  <sheetData>
    <row r="1" spans="1:6" x14ac:dyDescent="0.25">
      <c r="A1" s="78" t="s">
        <v>134</v>
      </c>
      <c r="B1" s="78" t="s">
        <v>145</v>
      </c>
      <c r="C1" s="78" t="s">
        <v>146</v>
      </c>
      <c r="D1" s="78" t="s">
        <v>147</v>
      </c>
      <c r="E1" s="78" t="s">
        <v>148</v>
      </c>
      <c r="F1" s="78" t="s">
        <v>176</v>
      </c>
    </row>
    <row r="2" spans="1:6" x14ac:dyDescent="0.25">
      <c r="A2" s="135" t="s">
        <v>177</v>
      </c>
      <c r="B2" s="136">
        <v>986267</v>
      </c>
      <c r="C2" s="137">
        <v>2959633</v>
      </c>
      <c r="D2" s="78"/>
      <c r="E2" s="139">
        <f t="shared" ref="E2:E11" si="0">IF(D2="R",B2,IF(D2="N",C2,0))</f>
        <v>0</v>
      </c>
      <c r="F2" s="345">
        <f>SUM(E2:E11)*1.16</f>
        <v>0</v>
      </c>
    </row>
    <row r="3" spans="1:6" x14ac:dyDescent="0.25">
      <c r="A3" s="135" t="s">
        <v>178</v>
      </c>
      <c r="B3" s="136">
        <v>6883931</v>
      </c>
      <c r="C3" s="137">
        <v>20651377</v>
      </c>
      <c r="D3" s="78"/>
      <c r="E3" s="139">
        <f t="shared" si="0"/>
        <v>0</v>
      </c>
      <c r="F3" s="345"/>
    </row>
    <row r="4" spans="1:6" x14ac:dyDescent="0.25">
      <c r="A4" s="135" t="s">
        <v>179</v>
      </c>
      <c r="B4" s="136">
        <v>4009048</v>
      </c>
      <c r="C4" s="137">
        <v>12027145</v>
      </c>
      <c r="D4" s="78"/>
      <c r="E4" s="139">
        <f t="shared" si="0"/>
        <v>0</v>
      </c>
      <c r="F4" s="345"/>
    </row>
    <row r="5" spans="1:6" x14ac:dyDescent="0.25">
      <c r="A5" s="135" t="s">
        <v>180</v>
      </c>
      <c r="B5" s="136">
        <v>15373143</v>
      </c>
      <c r="C5" s="137">
        <v>30745871</v>
      </c>
      <c r="D5" s="78"/>
      <c r="E5" s="139">
        <f t="shared" si="0"/>
        <v>0</v>
      </c>
      <c r="F5" s="345"/>
    </row>
    <row r="6" spans="1:6" x14ac:dyDescent="0.25">
      <c r="A6" s="141" t="s">
        <v>181</v>
      </c>
      <c r="B6" s="136">
        <v>791008</v>
      </c>
      <c r="C6" s="137">
        <v>2373440</v>
      </c>
      <c r="D6" s="78"/>
      <c r="E6" s="139">
        <f t="shared" si="0"/>
        <v>0</v>
      </c>
      <c r="F6" s="345"/>
    </row>
    <row r="7" spans="1:6" x14ac:dyDescent="0.25">
      <c r="A7" s="135" t="s">
        <v>182</v>
      </c>
      <c r="B7" s="136">
        <v>4529186</v>
      </c>
      <c r="C7" s="137">
        <v>13587973</v>
      </c>
      <c r="D7" s="78"/>
      <c r="E7" s="139">
        <f t="shared" si="0"/>
        <v>0</v>
      </c>
      <c r="F7" s="345"/>
    </row>
    <row r="8" spans="1:6" x14ac:dyDescent="0.25">
      <c r="A8" s="135" t="s">
        <v>183</v>
      </c>
      <c r="B8" s="136">
        <v>7601821</v>
      </c>
      <c r="C8" s="137">
        <v>22804631</v>
      </c>
      <c r="D8" s="78"/>
      <c r="E8" s="139">
        <f t="shared" si="0"/>
        <v>0</v>
      </c>
      <c r="F8" s="345"/>
    </row>
    <row r="9" spans="1:6" x14ac:dyDescent="0.25">
      <c r="A9" s="71" t="s">
        <v>184</v>
      </c>
      <c r="B9" s="136">
        <v>6334712</v>
      </c>
      <c r="C9" s="137">
        <v>19003721</v>
      </c>
      <c r="D9" s="78"/>
      <c r="E9" s="139">
        <f t="shared" si="0"/>
        <v>0</v>
      </c>
      <c r="F9" s="345"/>
    </row>
    <row r="10" spans="1:6" x14ac:dyDescent="0.25">
      <c r="A10" s="71" t="s">
        <v>185</v>
      </c>
      <c r="B10" s="136">
        <v>986267</v>
      </c>
      <c r="C10" s="137">
        <v>2959633</v>
      </c>
      <c r="D10" s="78"/>
      <c r="E10" s="139">
        <f t="shared" si="0"/>
        <v>0</v>
      </c>
      <c r="F10" s="345"/>
    </row>
    <row r="11" spans="1:6" x14ac:dyDescent="0.25">
      <c r="A11" s="71" t="s">
        <v>186</v>
      </c>
      <c r="B11" s="136">
        <v>2688763</v>
      </c>
      <c r="C11" s="137">
        <v>8066703</v>
      </c>
      <c r="D11" s="78"/>
      <c r="E11" s="139">
        <f t="shared" si="0"/>
        <v>0</v>
      </c>
      <c r="F11" s="345"/>
    </row>
    <row r="13" spans="1:6" x14ac:dyDescent="0.25">
      <c r="A13" t="s">
        <v>173</v>
      </c>
      <c r="B13">
        <v>2</v>
      </c>
    </row>
    <row r="14" spans="1:6" x14ac:dyDescent="0.25">
      <c r="A14" t="s">
        <v>175</v>
      </c>
    </row>
    <row r="15" spans="1:6" x14ac:dyDescent="0.25">
      <c r="B15" s="147"/>
    </row>
    <row r="16" spans="1:6" x14ac:dyDescent="0.25">
      <c r="B16" s="147"/>
    </row>
    <row r="17" spans="1:13" x14ac:dyDescent="0.25">
      <c r="B17" s="147"/>
    </row>
    <row r="18" spans="1:13" x14ac:dyDescent="0.25">
      <c r="B18" s="215"/>
    </row>
    <row r="19" spans="1:13" ht="15.75" thickBot="1" x14ac:dyDescent="0.3">
      <c r="A19" s="69"/>
      <c r="B19" s="69"/>
      <c r="C19" s="69"/>
      <c r="D19" s="69"/>
      <c r="E19" s="69"/>
    </row>
    <row r="20" spans="1:13" ht="15.75" thickBot="1" x14ac:dyDescent="0.3">
      <c r="A20" s="149"/>
      <c r="B20" s="228" t="s">
        <v>299</v>
      </c>
      <c r="C20" s="224"/>
      <c r="D20" s="224"/>
      <c r="E20" s="229"/>
      <c r="F20" s="149"/>
      <c r="G20" s="228" t="s">
        <v>300</v>
      </c>
      <c r="H20" s="224"/>
      <c r="I20" s="224"/>
      <c r="J20" s="224"/>
      <c r="K20" s="224"/>
      <c r="L20" s="225"/>
    </row>
    <row r="21" spans="1:13" x14ac:dyDescent="0.25">
      <c r="A21" s="222"/>
      <c r="B21" s="167"/>
      <c r="C21" s="167"/>
      <c r="D21" s="167"/>
      <c r="E21" s="230"/>
      <c r="F21" s="231" t="s">
        <v>67</v>
      </c>
      <c r="G21" s="166" t="s">
        <v>301</v>
      </c>
      <c r="H21" s="166" t="s">
        <v>289</v>
      </c>
      <c r="I21" s="166" t="s">
        <v>297</v>
      </c>
      <c r="J21" s="166"/>
      <c r="K21" s="166"/>
      <c r="L21" s="245" t="s">
        <v>190</v>
      </c>
      <c r="M21" s="243" t="s">
        <v>310</v>
      </c>
    </row>
    <row r="22" spans="1:13" ht="15.75" thickBot="1" x14ac:dyDescent="0.3">
      <c r="A22" s="89"/>
      <c r="B22" s="235" t="s">
        <v>292</v>
      </c>
      <c r="C22" s="79"/>
      <c r="D22" s="79"/>
      <c r="E22" s="236"/>
      <c r="F22" s="88">
        <v>1</v>
      </c>
      <c r="G22" s="71" t="s">
        <v>150</v>
      </c>
      <c r="H22" s="71">
        <v>12</v>
      </c>
      <c r="I22" s="71">
        <f>+H22/2</f>
        <v>6</v>
      </c>
      <c r="J22" s="71" t="s">
        <v>290</v>
      </c>
      <c r="K22" s="135" t="s">
        <v>292</v>
      </c>
      <c r="L22" s="247">
        <f>+I22*$B$5</f>
        <v>92238858</v>
      </c>
      <c r="M22" s="247">
        <f>+L22/$B$13</f>
        <v>46119429</v>
      </c>
    </row>
    <row r="23" spans="1:13" ht="15.75" thickBot="1" x14ac:dyDescent="0.3">
      <c r="A23" s="232" t="s">
        <v>67</v>
      </c>
      <c r="B23" s="233" t="s">
        <v>301</v>
      </c>
      <c r="C23" s="233" t="s">
        <v>289</v>
      </c>
      <c r="D23" s="233" t="s">
        <v>297</v>
      </c>
      <c r="E23" s="244"/>
      <c r="F23" s="88">
        <v>1</v>
      </c>
      <c r="G23" s="71" t="s">
        <v>285</v>
      </c>
      <c r="H23" s="71">
        <v>4</v>
      </c>
      <c r="I23" s="71">
        <f>+H23/2</f>
        <v>2</v>
      </c>
      <c r="J23" s="71" t="s">
        <v>290</v>
      </c>
      <c r="K23" s="135" t="s">
        <v>293</v>
      </c>
      <c r="L23" s="248">
        <f>+I23*$B$4</f>
        <v>8018096</v>
      </c>
      <c r="M23" s="248">
        <f>+L23/$B$13</f>
        <v>4009048</v>
      </c>
    </row>
    <row r="24" spans="1:13" ht="15.75" thickBot="1" x14ac:dyDescent="0.3">
      <c r="A24" s="222">
        <v>1</v>
      </c>
      <c r="B24" s="167" t="s">
        <v>285</v>
      </c>
      <c r="C24" s="167">
        <v>8</v>
      </c>
      <c r="D24" s="167">
        <f>+C24/2</f>
        <v>4</v>
      </c>
      <c r="E24" s="230" t="s">
        <v>291</v>
      </c>
      <c r="F24" s="226">
        <f>SUM(F22:F23)</f>
        <v>2</v>
      </c>
      <c r="G24" s="227"/>
      <c r="H24" s="227">
        <f>SUM(H22:H23)</f>
        <v>16</v>
      </c>
      <c r="I24" s="227">
        <f>SUM(I22:I23)</f>
        <v>8</v>
      </c>
      <c r="J24" s="227"/>
      <c r="K24" s="246"/>
      <c r="L24" s="241">
        <f>SUM(L22:L23)</f>
        <v>100256954</v>
      </c>
      <c r="M24" s="241">
        <f>SUM(M22:M23)</f>
        <v>50128477</v>
      </c>
    </row>
    <row r="25" spans="1:13" ht="15.75" thickBot="1" x14ac:dyDescent="0.3">
      <c r="A25" s="88">
        <v>3</v>
      </c>
      <c r="B25" s="71" t="s">
        <v>285</v>
      </c>
      <c r="C25" s="71">
        <v>24</v>
      </c>
      <c r="D25" s="71">
        <f t="shared" ref="D25:D28" si="1">+C25/2</f>
        <v>12</v>
      </c>
      <c r="E25" s="218" t="s">
        <v>290</v>
      </c>
    </row>
    <row r="26" spans="1:13" ht="15.75" thickBot="1" x14ac:dyDescent="0.3">
      <c r="A26" s="88">
        <v>1</v>
      </c>
      <c r="B26" s="71" t="s">
        <v>288</v>
      </c>
      <c r="C26" s="71">
        <v>8</v>
      </c>
      <c r="D26" s="71">
        <f t="shared" si="1"/>
        <v>4</v>
      </c>
      <c r="E26" s="218" t="s">
        <v>290</v>
      </c>
      <c r="F26" s="149"/>
      <c r="G26" s="228" t="s">
        <v>325</v>
      </c>
      <c r="H26" s="224"/>
      <c r="I26" s="224"/>
      <c r="J26" s="224"/>
      <c r="K26" s="224"/>
      <c r="L26" s="225"/>
    </row>
    <row r="27" spans="1:13" x14ac:dyDescent="0.25">
      <c r="A27" s="88">
        <v>2</v>
      </c>
      <c r="B27" s="71" t="s">
        <v>286</v>
      </c>
      <c r="C27" s="71">
        <v>32</v>
      </c>
      <c r="D27" s="71">
        <f t="shared" si="1"/>
        <v>16</v>
      </c>
      <c r="E27" s="218" t="s">
        <v>291</v>
      </c>
      <c r="F27" s="231"/>
      <c r="G27" s="166"/>
      <c r="H27" s="166" t="s">
        <v>289</v>
      </c>
      <c r="I27" s="166" t="s">
        <v>297</v>
      </c>
      <c r="J27" s="166"/>
      <c r="K27" s="166"/>
      <c r="L27" s="245" t="s">
        <v>190</v>
      </c>
      <c r="M27" s="243" t="s">
        <v>310</v>
      </c>
    </row>
    <row r="28" spans="1:13" x14ac:dyDescent="0.25">
      <c r="A28" s="219">
        <v>1</v>
      </c>
      <c r="B28" s="217" t="s">
        <v>287</v>
      </c>
      <c r="C28" s="217">
        <v>24</v>
      </c>
      <c r="D28" s="217">
        <f t="shared" si="1"/>
        <v>12</v>
      </c>
      <c r="E28" s="220" t="s">
        <v>291</v>
      </c>
      <c r="F28" s="88"/>
      <c r="G28" s="71" t="s">
        <v>150</v>
      </c>
      <c r="H28" s="71">
        <v>8</v>
      </c>
      <c r="I28" s="71">
        <f>+H28/2</f>
        <v>4</v>
      </c>
      <c r="J28" s="71" t="s">
        <v>290</v>
      </c>
      <c r="K28" s="135" t="s">
        <v>292</v>
      </c>
      <c r="L28" s="247">
        <f>I28*B5</f>
        <v>61492572</v>
      </c>
      <c r="M28" s="247">
        <f>L28/$B$13</f>
        <v>30746286</v>
      </c>
    </row>
    <row r="29" spans="1:13" ht="15.75" thickBot="1" x14ac:dyDescent="0.3">
      <c r="A29" s="226">
        <f>SUM(A24:A28)</f>
        <v>8</v>
      </c>
      <c r="B29" s="227"/>
      <c r="C29" s="227">
        <f>SUM(C24:C28)</f>
        <v>96</v>
      </c>
      <c r="D29" s="227">
        <f>SUM(D24:D28)</f>
        <v>48</v>
      </c>
      <c r="E29" s="221"/>
      <c r="F29" s="88"/>
      <c r="G29" s="71" t="s">
        <v>285</v>
      </c>
      <c r="H29" s="71">
        <v>8</v>
      </c>
      <c r="I29" s="71">
        <f>+H29/2</f>
        <v>4</v>
      </c>
      <c r="J29" s="71" t="s">
        <v>290</v>
      </c>
      <c r="K29" s="135" t="s">
        <v>293</v>
      </c>
      <c r="L29" s="248">
        <f>I29*B4</f>
        <v>16036192</v>
      </c>
      <c r="M29" s="248">
        <f>L29/$B$13</f>
        <v>8018096</v>
      </c>
    </row>
    <row r="30" spans="1:13" ht="15.75" thickBot="1" x14ac:dyDescent="0.3">
      <c r="A30" s="69"/>
      <c r="B30" s="69"/>
      <c r="C30" s="69"/>
      <c r="D30" s="69"/>
      <c r="E30" s="69"/>
      <c r="F30" s="226"/>
      <c r="G30" s="227"/>
      <c r="H30" s="227">
        <f>SUM(H28:H29)</f>
        <v>16</v>
      </c>
      <c r="I30" s="227">
        <f>SUM(I28:I29)</f>
        <v>8</v>
      </c>
      <c r="J30" s="227"/>
      <c r="K30" s="246"/>
      <c r="L30" s="241">
        <f>SUM(L28:L29)</f>
        <v>77528764</v>
      </c>
      <c r="M30" s="241">
        <f>SUM(M28:M29)</f>
        <v>38764382</v>
      </c>
    </row>
    <row r="31" spans="1:13" ht="15.75" thickBot="1" x14ac:dyDescent="0.3">
      <c r="A31" s="69"/>
      <c r="B31" s="262" t="s">
        <v>304</v>
      </c>
      <c r="C31" s="263">
        <f>D29*B5</f>
        <v>737910864</v>
      </c>
      <c r="D31" s="69"/>
      <c r="E31" s="69"/>
      <c r="M31" s="145"/>
    </row>
    <row r="32" spans="1:13" ht="15.75" thickBot="1" x14ac:dyDescent="0.3">
      <c r="A32" s="69"/>
      <c r="B32" s="240" t="s">
        <v>310</v>
      </c>
      <c r="C32" s="241">
        <f>+C31/$B$13</f>
        <v>368955432</v>
      </c>
      <c r="D32" s="69"/>
      <c r="E32" s="69"/>
      <c r="F32" s="149"/>
      <c r="G32" s="228" t="s">
        <v>326</v>
      </c>
      <c r="H32" s="224"/>
      <c r="I32" s="224"/>
      <c r="J32" s="224"/>
      <c r="K32" s="224"/>
      <c r="L32" s="225"/>
    </row>
    <row r="33" spans="1:13" ht="15.75" thickBot="1" x14ac:dyDescent="0.3">
      <c r="B33" s="141" t="s">
        <v>293</v>
      </c>
      <c r="F33" s="231"/>
      <c r="G33" s="166"/>
      <c r="H33" s="166" t="s">
        <v>289</v>
      </c>
      <c r="I33" s="166" t="s">
        <v>297</v>
      </c>
      <c r="J33" s="166"/>
      <c r="K33" s="166"/>
      <c r="L33" s="245" t="s">
        <v>190</v>
      </c>
      <c r="M33" s="243" t="s">
        <v>310</v>
      </c>
    </row>
    <row r="34" spans="1:13" ht="15.75" thickBot="1" x14ac:dyDescent="0.3">
      <c r="A34" s="232" t="s">
        <v>67</v>
      </c>
      <c r="B34" s="233" t="s">
        <v>301</v>
      </c>
      <c r="C34" s="233" t="s">
        <v>289</v>
      </c>
      <c r="D34" s="233" t="s">
        <v>297</v>
      </c>
      <c r="E34" s="234"/>
      <c r="F34" s="88"/>
      <c r="G34" s="71" t="s">
        <v>150</v>
      </c>
      <c r="H34" s="71">
        <v>8</v>
      </c>
      <c r="I34" s="71">
        <f>+H34/2</f>
        <v>4</v>
      </c>
      <c r="J34" s="71" t="s">
        <v>290</v>
      </c>
      <c r="K34" s="135" t="s">
        <v>292</v>
      </c>
      <c r="L34" s="247">
        <f>I34*B5</f>
        <v>61492572</v>
      </c>
      <c r="M34" s="247">
        <f>L34/$B$13</f>
        <v>30746286</v>
      </c>
    </row>
    <row r="35" spans="1:13" ht="15.75" thickBot="1" x14ac:dyDescent="0.3">
      <c r="A35" s="222">
        <v>4</v>
      </c>
      <c r="B35" s="167" t="s">
        <v>294</v>
      </c>
      <c r="C35" s="167">
        <v>4</v>
      </c>
      <c r="D35" s="167">
        <f>+C35/2</f>
        <v>2</v>
      </c>
      <c r="E35" s="223" t="s">
        <v>290</v>
      </c>
      <c r="F35" s="88"/>
      <c r="G35" s="71" t="s">
        <v>285</v>
      </c>
      <c r="H35" s="71">
        <v>8</v>
      </c>
      <c r="I35" s="71">
        <f>+H35/2</f>
        <v>4</v>
      </c>
      <c r="J35" s="71" t="s">
        <v>290</v>
      </c>
      <c r="K35" s="135" t="s">
        <v>293</v>
      </c>
      <c r="L35" s="248">
        <f>I35*B4</f>
        <v>16036192</v>
      </c>
      <c r="M35" s="248">
        <f>L35/$B$13</f>
        <v>8018096</v>
      </c>
    </row>
    <row r="36" spans="1:13" ht="15.75" thickBot="1" x14ac:dyDescent="0.3">
      <c r="A36" s="88">
        <v>1</v>
      </c>
      <c r="B36" s="71" t="s">
        <v>295</v>
      </c>
      <c r="C36" s="71">
        <v>16</v>
      </c>
      <c r="D36" s="71">
        <f t="shared" ref="D36:D38" si="2">+C36/2</f>
        <v>8</v>
      </c>
      <c r="E36" s="218" t="s">
        <v>291</v>
      </c>
      <c r="F36" s="226"/>
      <c r="G36" s="227"/>
      <c r="H36" s="227">
        <f>SUM(H34:H35)</f>
        <v>16</v>
      </c>
      <c r="I36" s="227">
        <f>SUM(I34:I35)</f>
        <v>8</v>
      </c>
      <c r="J36" s="227"/>
      <c r="K36" s="246"/>
      <c r="L36" s="241">
        <f>SUM(L34:L35)</f>
        <v>77528764</v>
      </c>
      <c r="M36" s="241">
        <f>SUM(M34:M35)</f>
        <v>38764382</v>
      </c>
    </row>
    <row r="37" spans="1:13" ht="15.75" thickBot="1" x14ac:dyDescent="0.3">
      <c r="A37" s="88">
        <v>1</v>
      </c>
      <c r="B37" s="143" t="s">
        <v>296</v>
      </c>
      <c r="C37" s="71">
        <v>2</v>
      </c>
      <c r="D37" s="71">
        <f t="shared" si="2"/>
        <v>1</v>
      </c>
      <c r="E37" s="218" t="s">
        <v>290</v>
      </c>
    </row>
    <row r="38" spans="1:13" ht="15.75" thickBot="1" x14ac:dyDescent="0.3">
      <c r="A38" s="88">
        <v>1</v>
      </c>
      <c r="B38" s="71" t="s">
        <v>298</v>
      </c>
      <c r="C38" s="71">
        <v>2</v>
      </c>
      <c r="D38" s="71">
        <f t="shared" si="2"/>
        <v>1</v>
      </c>
      <c r="E38" s="218" t="s">
        <v>291</v>
      </c>
      <c r="F38" s="149"/>
      <c r="G38" s="228" t="s">
        <v>327</v>
      </c>
      <c r="H38" s="224"/>
      <c r="I38" s="224"/>
      <c r="J38" s="224"/>
      <c r="K38" s="224"/>
      <c r="L38" s="225"/>
    </row>
    <row r="39" spans="1:13" ht="15.75" thickBot="1" x14ac:dyDescent="0.3">
      <c r="A39" s="226">
        <f>SUM(A35:A38)</f>
        <v>7</v>
      </c>
      <c r="B39" s="227"/>
      <c r="C39" s="227">
        <f>SUM(C35:C37)</f>
        <v>22</v>
      </c>
      <c r="D39" s="227">
        <f>SUM(D35:D38)</f>
        <v>12</v>
      </c>
      <c r="E39" s="242"/>
      <c r="F39" s="231"/>
      <c r="G39" s="166"/>
      <c r="H39" s="166" t="s">
        <v>289</v>
      </c>
      <c r="I39" s="166" t="s">
        <v>297</v>
      </c>
      <c r="J39" s="166"/>
      <c r="K39" s="166"/>
      <c r="L39" s="245" t="s">
        <v>190</v>
      </c>
      <c r="M39" s="243" t="s">
        <v>310</v>
      </c>
    </row>
    <row r="40" spans="1:13" ht="15.75" thickBot="1" x14ac:dyDescent="0.3">
      <c r="F40" s="88"/>
      <c r="G40" s="71" t="s">
        <v>150</v>
      </c>
      <c r="H40" s="71">
        <v>8</v>
      </c>
      <c r="I40" s="71">
        <f>+H40/2</f>
        <v>4</v>
      </c>
      <c r="J40" s="71" t="s">
        <v>290</v>
      </c>
      <c r="K40" s="135" t="s">
        <v>292</v>
      </c>
      <c r="L40" s="247">
        <f>I40*B5</f>
        <v>61492572</v>
      </c>
      <c r="M40" s="247">
        <f>L40/$B$13</f>
        <v>30746286</v>
      </c>
    </row>
    <row r="41" spans="1:13" ht="15.75" thickBot="1" x14ac:dyDescent="0.3">
      <c r="B41" s="239" t="s">
        <v>305</v>
      </c>
      <c r="C41" s="238">
        <f>+D39*B4</f>
        <v>48108576</v>
      </c>
      <c r="F41" s="88"/>
      <c r="G41" s="71" t="s">
        <v>285</v>
      </c>
      <c r="H41" s="71">
        <v>8</v>
      </c>
      <c r="I41" s="71">
        <f>+H41/2</f>
        <v>4</v>
      </c>
      <c r="J41" s="71" t="s">
        <v>290</v>
      </c>
      <c r="K41" s="135" t="s">
        <v>293</v>
      </c>
      <c r="L41" s="248">
        <f>I41*B4</f>
        <v>16036192</v>
      </c>
      <c r="M41" s="248">
        <f>L41/$B$13</f>
        <v>8018096</v>
      </c>
    </row>
    <row r="42" spans="1:13" ht="15.75" thickBot="1" x14ac:dyDescent="0.3">
      <c r="B42" s="239" t="s">
        <v>310</v>
      </c>
      <c r="C42" s="238">
        <f>+C41/$B$13</f>
        <v>24054288</v>
      </c>
      <c r="F42" s="226"/>
      <c r="G42" s="227"/>
      <c r="H42" s="227">
        <f>SUM(H40:H41)</f>
        <v>16</v>
      </c>
      <c r="I42" s="227">
        <f>SUM(I40:I41)</f>
        <v>8</v>
      </c>
      <c r="J42" s="227"/>
      <c r="K42" s="246"/>
      <c r="L42" s="241">
        <f>SUM(L40:L41)</f>
        <v>77528764</v>
      </c>
      <c r="M42" s="241">
        <f>SUM(M40:M41)</f>
        <v>38764382</v>
      </c>
    </row>
    <row r="43" spans="1:13" s="179" customFormat="1" ht="15.75" thickBot="1" x14ac:dyDescent="0.3">
      <c r="B43" s="175"/>
      <c r="C43" s="178"/>
      <c r="G43"/>
      <c r="H43"/>
      <c r="I43"/>
      <c r="J43"/>
      <c r="K43"/>
      <c r="L43"/>
      <c r="M43"/>
    </row>
    <row r="44" spans="1:13" ht="15.75" thickBot="1" x14ac:dyDescent="0.3">
      <c r="B44" s="216" t="s">
        <v>190</v>
      </c>
      <c r="C44" s="237">
        <f>+C31+C41+L24+L30+L36+L42+L48+L54+L60</f>
        <v>1351448978</v>
      </c>
      <c r="F44" s="149"/>
      <c r="G44" s="228" t="s">
        <v>328</v>
      </c>
      <c r="H44" s="224"/>
      <c r="I44" s="224"/>
      <c r="J44" s="224"/>
      <c r="K44" s="224"/>
      <c r="L44" s="225"/>
    </row>
    <row r="45" spans="1:13" x14ac:dyDescent="0.25">
      <c r="B45" s="216" t="s">
        <v>310</v>
      </c>
      <c r="C45" s="237">
        <f>+C32+C42+M24+M30+M36+M42+M48+M54+M60</f>
        <v>675724489</v>
      </c>
      <c r="F45" s="231"/>
      <c r="G45" s="166"/>
      <c r="H45" s="166" t="s">
        <v>289</v>
      </c>
      <c r="I45" s="166" t="s">
        <v>297</v>
      </c>
      <c r="J45" s="166"/>
      <c r="K45" s="166"/>
      <c r="L45" s="245" t="s">
        <v>190</v>
      </c>
      <c r="M45" s="243" t="s">
        <v>310</v>
      </c>
    </row>
    <row r="46" spans="1:13" x14ac:dyDescent="0.25">
      <c r="F46" s="88"/>
      <c r="G46" s="71" t="s">
        <v>150</v>
      </c>
      <c r="H46" s="71">
        <v>8</v>
      </c>
      <c r="I46" s="71">
        <f>+H46/2</f>
        <v>4</v>
      </c>
      <c r="J46" s="71" t="s">
        <v>290</v>
      </c>
      <c r="K46" s="135" t="s">
        <v>292</v>
      </c>
      <c r="L46" s="247">
        <f>I46*B5</f>
        <v>61492572</v>
      </c>
      <c r="M46" s="247">
        <f>L46/$B$13</f>
        <v>30746286</v>
      </c>
    </row>
    <row r="47" spans="1:13" ht="15.75" thickBot="1" x14ac:dyDescent="0.3">
      <c r="F47" s="88"/>
      <c r="G47" s="71" t="s">
        <v>285</v>
      </c>
      <c r="H47" s="71">
        <v>8</v>
      </c>
      <c r="I47" s="71">
        <f>+H47/2</f>
        <v>4</v>
      </c>
      <c r="J47" s="71" t="s">
        <v>290</v>
      </c>
      <c r="K47" s="135" t="s">
        <v>293</v>
      </c>
      <c r="L47" s="248">
        <f>I47*B4</f>
        <v>16036192</v>
      </c>
      <c r="M47" s="248">
        <f>L47/$B$13</f>
        <v>8018096</v>
      </c>
    </row>
    <row r="48" spans="1:13" ht="15.75" thickBot="1" x14ac:dyDescent="0.3">
      <c r="F48" s="226"/>
      <c r="G48" s="227"/>
      <c r="H48" s="227">
        <f>SUM(H46:H47)</f>
        <v>16</v>
      </c>
      <c r="I48" s="227">
        <f>SUM(I46:I47)</f>
        <v>8</v>
      </c>
      <c r="J48" s="227"/>
      <c r="K48" s="246"/>
      <c r="L48" s="241">
        <f>SUM(L46:L47)</f>
        <v>77528764</v>
      </c>
      <c r="M48" s="241">
        <f>SUM(M46:M47)</f>
        <v>38764382</v>
      </c>
    </row>
    <row r="49" spans="1:13" ht="15.75" thickBot="1" x14ac:dyDescent="0.3"/>
    <row r="50" spans="1:13" ht="15.75" thickBot="1" x14ac:dyDescent="0.3">
      <c r="F50" s="149"/>
      <c r="G50" s="228" t="s">
        <v>329</v>
      </c>
      <c r="H50" s="224"/>
      <c r="I50" s="224"/>
      <c r="J50" s="224"/>
      <c r="K50" s="224"/>
      <c r="L50" s="225"/>
    </row>
    <row r="51" spans="1:13" x14ac:dyDescent="0.25">
      <c r="F51" s="231"/>
      <c r="G51" s="166"/>
      <c r="H51" s="166" t="s">
        <v>289</v>
      </c>
      <c r="I51" s="166" t="s">
        <v>297</v>
      </c>
      <c r="J51" s="166"/>
      <c r="K51" s="166"/>
      <c r="L51" s="245" t="s">
        <v>190</v>
      </c>
      <c r="M51" s="243" t="s">
        <v>310</v>
      </c>
    </row>
    <row r="52" spans="1:13" x14ac:dyDescent="0.25">
      <c r="F52" s="88"/>
      <c r="G52" s="71" t="s">
        <v>150</v>
      </c>
      <c r="H52" s="71">
        <v>8</v>
      </c>
      <c r="I52" s="71">
        <f>+H52/2</f>
        <v>4</v>
      </c>
      <c r="J52" s="71" t="s">
        <v>290</v>
      </c>
      <c r="K52" s="135" t="s">
        <v>292</v>
      </c>
      <c r="L52" s="247">
        <f>I52*B5</f>
        <v>61492572</v>
      </c>
      <c r="M52" s="247">
        <f>L52/$B$13</f>
        <v>30746286</v>
      </c>
    </row>
    <row r="53" spans="1:13" ht="15.75" thickBot="1" x14ac:dyDescent="0.3">
      <c r="F53" s="88"/>
      <c r="G53" s="71" t="s">
        <v>285</v>
      </c>
      <c r="H53" s="71">
        <v>8</v>
      </c>
      <c r="I53" s="71">
        <f>+H53/2</f>
        <v>4</v>
      </c>
      <c r="J53" s="71" t="s">
        <v>290</v>
      </c>
      <c r="K53" s="135" t="s">
        <v>293</v>
      </c>
      <c r="L53" s="248">
        <f>I53*B4</f>
        <v>16036192</v>
      </c>
      <c r="M53" s="248">
        <f>L53/$B$13</f>
        <v>8018096</v>
      </c>
    </row>
    <row r="54" spans="1:13" ht="15.75" thickBot="1" x14ac:dyDescent="0.3">
      <c r="F54" s="226"/>
      <c r="G54" s="227"/>
      <c r="H54" s="227">
        <f>SUM(H52:H53)</f>
        <v>16</v>
      </c>
      <c r="I54" s="227">
        <f>SUM(I52:I53)</f>
        <v>8</v>
      </c>
      <c r="J54" s="227"/>
      <c r="K54" s="246"/>
      <c r="L54" s="241">
        <f>SUM(L52:L53)</f>
        <v>77528764</v>
      </c>
      <c r="M54" s="241">
        <f>SUM(M52:M53)</f>
        <v>38764382</v>
      </c>
    </row>
    <row r="55" spans="1:13" ht="15.75" thickBot="1" x14ac:dyDescent="0.3"/>
    <row r="56" spans="1:13" ht="15.75" thickBot="1" x14ac:dyDescent="0.3">
      <c r="F56" s="149"/>
      <c r="G56" s="228" t="s">
        <v>330</v>
      </c>
      <c r="H56" s="224"/>
      <c r="I56" s="224"/>
      <c r="J56" s="224"/>
      <c r="K56" s="224"/>
      <c r="L56" s="225"/>
    </row>
    <row r="57" spans="1:13" x14ac:dyDescent="0.25">
      <c r="F57" s="231"/>
      <c r="G57" s="166"/>
      <c r="H57" s="166" t="s">
        <v>289</v>
      </c>
      <c r="I57" s="166" t="s">
        <v>297</v>
      </c>
      <c r="J57" s="166"/>
      <c r="K57" s="166"/>
      <c r="L57" s="245" t="s">
        <v>190</v>
      </c>
      <c r="M57" s="243" t="s">
        <v>310</v>
      </c>
    </row>
    <row r="58" spans="1:13" x14ac:dyDescent="0.25">
      <c r="F58" s="88"/>
      <c r="G58" s="71" t="s">
        <v>150</v>
      </c>
      <c r="H58" s="71">
        <v>8</v>
      </c>
      <c r="I58" s="71">
        <f>+H58/2</f>
        <v>4</v>
      </c>
      <c r="J58" s="71" t="s">
        <v>290</v>
      </c>
      <c r="K58" s="135" t="s">
        <v>292</v>
      </c>
      <c r="L58" s="247">
        <f>I58*B5</f>
        <v>61492572</v>
      </c>
      <c r="M58" s="247">
        <f>L58/$B$13</f>
        <v>30746286</v>
      </c>
    </row>
    <row r="59" spans="1:13" ht="15.75" thickBot="1" x14ac:dyDescent="0.3">
      <c r="F59" s="88"/>
      <c r="G59" s="71" t="s">
        <v>285</v>
      </c>
      <c r="H59" s="71">
        <v>8</v>
      </c>
      <c r="I59" s="71">
        <f>+H59/2</f>
        <v>4</v>
      </c>
      <c r="J59" s="71" t="s">
        <v>290</v>
      </c>
      <c r="K59" s="135" t="s">
        <v>293</v>
      </c>
      <c r="L59" s="248">
        <f>I59*B4</f>
        <v>16036192</v>
      </c>
      <c r="M59" s="248">
        <f>L59/$B$13</f>
        <v>8018096</v>
      </c>
    </row>
    <row r="60" spans="1:13" ht="15.75" thickBot="1" x14ac:dyDescent="0.3">
      <c r="F60" s="226"/>
      <c r="G60" s="227"/>
      <c r="H60" s="227">
        <f>SUM(H58:H59)</f>
        <v>16</v>
      </c>
      <c r="I60" s="227">
        <f>SUM(I58:I59)</f>
        <v>8</v>
      </c>
      <c r="J60" s="227"/>
      <c r="K60" s="246"/>
      <c r="L60" s="241">
        <f>SUM(L58:L59)</f>
        <v>77528764</v>
      </c>
      <c r="M60" s="241">
        <f>SUM(M58:M59)</f>
        <v>38764382</v>
      </c>
    </row>
    <row r="62" spans="1:13" ht="15.75" thickBot="1" x14ac:dyDescent="0.3">
      <c r="L62" s="145">
        <f>+L30+L36+L42</f>
        <v>232586292</v>
      </c>
      <c r="M62" s="145">
        <f>+M30+M36+M60</f>
        <v>116293146</v>
      </c>
    </row>
    <row r="63" spans="1:13" ht="15.75" thickBot="1" x14ac:dyDescent="0.3">
      <c r="C63" s="290" t="s">
        <v>337</v>
      </c>
    </row>
    <row r="64" spans="1:13" x14ac:dyDescent="0.25">
      <c r="A64" s="283" t="s">
        <v>331</v>
      </c>
      <c r="B64" s="288">
        <f>+C41+L35+L41+L47+L53+L59</f>
        <v>128289536</v>
      </c>
      <c r="C64" s="291">
        <f>+D39+I23+I29+I35+I41+I47+I53+I59</f>
        <v>38</v>
      </c>
    </row>
    <row r="65" spans="1:3" ht="15.75" thickBot="1" x14ac:dyDescent="0.3">
      <c r="A65" s="284" t="s">
        <v>332</v>
      </c>
      <c r="B65" s="289">
        <f>+C31+L22+L28+L34+L40+L46+L52+L58</f>
        <v>1199105154</v>
      </c>
      <c r="C65" s="292">
        <f>+D29+I22+I28+I34+I40+I46+I52+I58</f>
        <v>78</v>
      </c>
    </row>
    <row r="66" spans="1:3" x14ac:dyDescent="0.25">
      <c r="A66" s="284" t="s">
        <v>333</v>
      </c>
      <c r="B66" s="285">
        <f>+B64/B13</f>
        <v>64144768</v>
      </c>
    </row>
    <row r="67" spans="1:3" x14ac:dyDescent="0.25">
      <c r="A67" s="284" t="s">
        <v>334</v>
      </c>
      <c r="B67" s="285">
        <f>+B65/B13</f>
        <v>599552577</v>
      </c>
    </row>
    <row r="68" spans="1:3" x14ac:dyDescent="0.25">
      <c r="A68" s="284" t="s">
        <v>335</v>
      </c>
      <c r="B68" s="285">
        <f>+B64+B65</f>
        <v>1327394690</v>
      </c>
    </row>
    <row r="69" spans="1:3" ht="15.75" thickBot="1" x14ac:dyDescent="0.3">
      <c r="A69" s="286" t="s">
        <v>336</v>
      </c>
      <c r="B69" s="287">
        <f>+B66+B67</f>
        <v>663697345</v>
      </c>
    </row>
  </sheetData>
  <mergeCells count="1">
    <mergeCell ref="F2:F11"/>
  </mergeCells>
  <conditionalFormatting sqref="E2:F11">
    <cfRule type="cellIs" dxfId="0" priority="1" operator="equal">
      <formula>0</formula>
    </cfRule>
  </conditionalFormatting>
  <dataValidations disablePrompts="1" count="1">
    <dataValidation type="list" allowBlank="1" showInputMessage="1" showErrorMessage="1" sqref="D2:D11">
      <formula1>"N,R"</formula1>
    </dataValidation>
  </dataValidations>
  <pageMargins left="0.7" right="0.7" top="0.75" bottom="0.75" header="0.3" footer="0.3"/>
  <pageSetup orientation="portrait" r:id="rId1"/>
  <ignoredErrors>
    <ignoredError sqref="C39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82"/>
  <sheetViews>
    <sheetView workbookViewId="0">
      <selection activeCell="D100" sqref="D100"/>
    </sheetView>
  </sheetViews>
  <sheetFormatPr baseColWidth="10" defaultRowHeight="15" x14ac:dyDescent="0.25"/>
  <cols>
    <col min="1" max="1" width="5.85546875" style="186" bestFit="1" customWidth="1"/>
    <col min="2" max="2" width="22.85546875" style="186" bestFit="1" customWidth="1"/>
    <col min="3" max="3" width="33.85546875" style="186" bestFit="1" customWidth="1"/>
    <col min="4" max="4" width="33.85546875" style="186" customWidth="1"/>
    <col min="5" max="5" width="19" style="194" bestFit="1" customWidth="1"/>
    <col min="6" max="6" width="45.5703125" style="185" bestFit="1" customWidth="1"/>
    <col min="7" max="7" width="14.140625" style="185" bestFit="1" customWidth="1"/>
    <col min="8" max="16384" width="11.42578125" style="186"/>
  </cols>
  <sheetData>
    <row r="1" spans="1:7" x14ac:dyDescent="0.25">
      <c r="A1" s="143" t="s">
        <v>202</v>
      </c>
      <c r="B1" s="182" t="s">
        <v>203</v>
      </c>
      <c r="C1" s="182" t="s">
        <v>204</v>
      </c>
      <c r="D1" s="182" t="s">
        <v>271</v>
      </c>
      <c r="E1" s="183" t="s">
        <v>205</v>
      </c>
      <c r="F1" s="184" t="s">
        <v>118</v>
      </c>
    </row>
    <row r="2" spans="1:7" s="179" customFormat="1" hidden="1" x14ac:dyDescent="0.25">
      <c r="A2" s="188">
        <v>1</v>
      </c>
      <c r="B2" s="188" t="s">
        <v>103</v>
      </c>
      <c r="C2" s="188" t="s">
        <v>212</v>
      </c>
      <c r="D2" s="188" t="s">
        <v>273</v>
      </c>
      <c r="E2" s="189">
        <v>60268318</v>
      </c>
      <c r="F2" s="188" t="s">
        <v>208</v>
      </c>
    </row>
    <row r="3" spans="1:7" s="179" customFormat="1" hidden="1" x14ac:dyDescent="0.25">
      <c r="A3" s="188">
        <f>+A2+1</f>
        <v>2</v>
      </c>
      <c r="B3" s="188" t="s">
        <v>103</v>
      </c>
      <c r="C3" s="188" t="s">
        <v>212</v>
      </c>
      <c r="D3" s="143" t="s">
        <v>273</v>
      </c>
      <c r="E3" s="189"/>
      <c r="F3" s="188" t="s">
        <v>206</v>
      </c>
    </row>
    <row r="4" spans="1:7" hidden="1" x14ac:dyDescent="0.25">
      <c r="A4" s="143">
        <f>+A3+1</f>
        <v>3</v>
      </c>
      <c r="B4" s="143" t="s">
        <v>103</v>
      </c>
      <c r="C4" s="143" t="s">
        <v>213</v>
      </c>
      <c r="D4" s="143" t="s">
        <v>273</v>
      </c>
      <c r="E4" s="187">
        <v>1014193027</v>
      </c>
      <c r="F4" s="143" t="s">
        <v>207</v>
      </c>
      <c r="G4" s="186"/>
    </row>
    <row r="5" spans="1:7" hidden="1" x14ac:dyDescent="0.25">
      <c r="A5" s="143">
        <f>1+A4</f>
        <v>4</v>
      </c>
      <c r="B5" s="143" t="s">
        <v>103</v>
      </c>
      <c r="C5" s="143" t="s">
        <v>214</v>
      </c>
      <c r="D5" s="143" t="s">
        <v>101</v>
      </c>
      <c r="E5" s="187">
        <v>52425390</v>
      </c>
      <c r="F5" s="143" t="s">
        <v>208</v>
      </c>
      <c r="G5" s="186"/>
    </row>
    <row r="6" spans="1:7" hidden="1" x14ac:dyDescent="0.25">
      <c r="A6" s="143">
        <f>1+A5</f>
        <v>5</v>
      </c>
      <c r="B6" s="143" t="s">
        <v>103</v>
      </c>
      <c r="C6" s="143" t="s">
        <v>215</v>
      </c>
      <c r="D6" s="143" t="s">
        <v>101</v>
      </c>
      <c r="E6" s="187">
        <v>80795698</v>
      </c>
      <c r="F6" s="143" t="s">
        <v>208</v>
      </c>
      <c r="G6" s="186"/>
    </row>
    <row r="7" spans="1:7" hidden="1" x14ac:dyDescent="0.25">
      <c r="A7" s="143">
        <f>1+A6</f>
        <v>6</v>
      </c>
      <c r="B7" s="143" t="s">
        <v>103</v>
      </c>
      <c r="C7" s="143" t="s">
        <v>216</v>
      </c>
      <c r="D7" s="143" t="s">
        <v>101</v>
      </c>
      <c r="E7" s="187">
        <v>1110452345</v>
      </c>
      <c r="F7" s="143" t="s">
        <v>208</v>
      </c>
      <c r="G7" s="186"/>
    </row>
    <row r="8" spans="1:7" hidden="1" x14ac:dyDescent="0.25">
      <c r="A8" s="143">
        <f>1+A7</f>
        <v>7</v>
      </c>
      <c r="B8" s="143" t="s">
        <v>103</v>
      </c>
      <c r="C8" s="143" t="s">
        <v>217</v>
      </c>
      <c r="D8" s="143" t="s">
        <v>102</v>
      </c>
      <c r="E8" s="187">
        <v>79804640</v>
      </c>
      <c r="F8" s="143" t="s">
        <v>159</v>
      </c>
      <c r="G8" s="186"/>
    </row>
    <row r="9" spans="1:7" hidden="1" x14ac:dyDescent="0.25">
      <c r="A9" s="143">
        <f>+A8+1</f>
        <v>8</v>
      </c>
      <c r="B9" s="143" t="s">
        <v>103</v>
      </c>
      <c r="C9" s="143" t="s">
        <v>217</v>
      </c>
      <c r="D9" s="143" t="s">
        <v>102</v>
      </c>
      <c r="E9" s="187">
        <v>79804640</v>
      </c>
      <c r="F9" s="143" t="s">
        <v>206</v>
      </c>
      <c r="G9" s="186"/>
    </row>
    <row r="10" spans="1:7" hidden="1" x14ac:dyDescent="0.25">
      <c r="A10" s="143">
        <f>+A9+1</f>
        <v>9</v>
      </c>
      <c r="B10" s="143" t="s">
        <v>103</v>
      </c>
      <c r="C10" s="143" t="s">
        <v>218</v>
      </c>
      <c r="D10" s="143" t="s">
        <v>101</v>
      </c>
      <c r="E10" s="187">
        <v>80155831</v>
      </c>
      <c r="F10" s="143" t="s">
        <v>208</v>
      </c>
      <c r="G10" s="186"/>
    </row>
    <row r="11" spans="1:7" hidden="1" x14ac:dyDescent="0.25">
      <c r="A11" s="143">
        <f>+A10+1</f>
        <v>10</v>
      </c>
      <c r="B11" s="143" t="s">
        <v>103</v>
      </c>
      <c r="C11" s="143" t="s">
        <v>219</v>
      </c>
      <c r="D11" s="143" t="s">
        <v>101</v>
      </c>
      <c r="E11" s="187">
        <v>10303163</v>
      </c>
      <c r="F11" s="143" t="s">
        <v>208</v>
      </c>
      <c r="G11" s="186"/>
    </row>
    <row r="12" spans="1:7" s="179" customFormat="1" hidden="1" x14ac:dyDescent="0.25">
      <c r="A12" s="188">
        <f t="shared" ref="A12:A68" si="0">1+A11</f>
        <v>11</v>
      </c>
      <c r="B12" s="188" t="s">
        <v>103</v>
      </c>
      <c r="C12" s="188" t="s">
        <v>220</v>
      </c>
      <c r="D12" s="188" t="s">
        <v>101</v>
      </c>
      <c r="E12" s="189">
        <v>51599882</v>
      </c>
      <c r="F12" s="188" t="s">
        <v>208</v>
      </c>
    </row>
    <row r="13" spans="1:7" s="179" customFormat="1" hidden="1" x14ac:dyDescent="0.25">
      <c r="A13" s="188">
        <f>+A12+1</f>
        <v>12</v>
      </c>
      <c r="B13" s="188" t="s">
        <v>103</v>
      </c>
      <c r="C13" s="188" t="s">
        <v>220</v>
      </c>
      <c r="D13" s="188" t="s">
        <v>101</v>
      </c>
      <c r="E13" s="189">
        <v>51599882</v>
      </c>
      <c r="F13" s="188" t="s">
        <v>206</v>
      </c>
    </row>
    <row r="14" spans="1:7" s="192" customFormat="1" hidden="1" x14ac:dyDescent="0.25">
      <c r="A14" s="190">
        <f t="shared" si="0"/>
        <v>13</v>
      </c>
      <c r="B14" s="191" t="s">
        <v>103</v>
      </c>
      <c r="C14" s="191" t="s">
        <v>221</v>
      </c>
      <c r="D14" s="191" t="s">
        <v>101</v>
      </c>
      <c r="E14" s="187">
        <v>79952123</v>
      </c>
      <c r="F14" s="143" t="s">
        <v>208</v>
      </c>
    </row>
    <row r="15" spans="1:7" hidden="1" x14ac:dyDescent="0.25">
      <c r="A15" s="143">
        <f t="shared" si="0"/>
        <v>14</v>
      </c>
      <c r="B15" s="143" t="s">
        <v>103</v>
      </c>
      <c r="C15" s="143" t="s">
        <v>222</v>
      </c>
      <c r="D15" s="143" t="s">
        <v>266</v>
      </c>
      <c r="E15" s="187">
        <v>24080618</v>
      </c>
      <c r="F15" s="143" t="s">
        <v>211</v>
      </c>
      <c r="G15" s="186"/>
    </row>
    <row r="16" spans="1:7" hidden="1" x14ac:dyDescent="0.25">
      <c r="A16" s="143">
        <f t="shared" si="0"/>
        <v>15</v>
      </c>
      <c r="B16" s="143" t="s">
        <v>103</v>
      </c>
      <c r="C16" s="143" t="s">
        <v>222</v>
      </c>
      <c r="D16" s="143" t="s">
        <v>266</v>
      </c>
      <c r="E16" s="187">
        <v>24080618</v>
      </c>
      <c r="F16" s="143" t="s">
        <v>206</v>
      </c>
      <c r="G16" s="186"/>
    </row>
    <row r="17" spans="1:7" hidden="1" x14ac:dyDescent="0.25">
      <c r="A17" s="143">
        <f t="shared" si="0"/>
        <v>16</v>
      </c>
      <c r="B17" s="143" t="s">
        <v>103</v>
      </c>
      <c r="C17" s="143" t="s">
        <v>222</v>
      </c>
      <c r="D17" s="143" t="s">
        <v>266</v>
      </c>
      <c r="E17" s="187">
        <v>24080618</v>
      </c>
      <c r="F17" s="143" t="s">
        <v>208</v>
      </c>
      <c r="G17" s="186"/>
    </row>
    <row r="18" spans="1:7" hidden="1" x14ac:dyDescent="0.25">
      <c r="A18" s="143">
        <f>+A17+1</f>
        <v>17</v>
      </c>
      <c r="B18" s="143" t="s">
        <v>103</v>
      </c>
      <c r="C18" s="143" t="s">
        <v>223</v>
      </c>
      <c r="D18" s="143" t="s">
        <v>273</v>
      </c>
      <c r="E18" s="187">
        <v>63350952</v>
      </c>
      <c r="F18" s="143" t="s">
        <v>208</v>
      </c>
      <c r="G18" s="186"/>
    </row>
    <row r="19" spans="1:7" hidden="1" x14ac:dyDescent="0.25">
      <c r="A19" s="143">
        <f>+A18+1</f>
        <v>18</v>
      </c>
      <c r="B19" s="143" t="s">
        <v>103</v>
      </c>
      <c r="C19" s="143" t="s">
        <v>224</v>
      </c>
      <c r="D19" s="143" t="s">
        <v>101</v>
      </c>
      <c r="E19" s="187">
        <v>36665658</v>
      </c>
      <c r="F19" s="143" t="s">
        <v>208</v>
      </c>
      <c r="G19" s="186"/>
    </row>
    <row r="20" spans="1:7" hidden="1" x14ac:dyDescent="0.25">
      <c r="A20" s="143">
        <f>+A19+1</f>
        <v>19</v>
      </c>
      <c r="B20" s="143" t="s">
        <v>103</v>
      </c>
      <c r="C20" s="143" t="s">
        <v>225</v>
      </c>
      <c r="D20" s="143" t="s">
        <v>101</v>
      </c>
      <c r="E20" s="187">
        <v>79422953</v>
      </c>
      <c r="F20" s="143" t="s">
        <v>208</v>
      </c>
      <c r="G20" s="186"/>
    </row>
    <row r="21" spans="1:7" hidden="1" x14ac:dyDescent="0.25">
      <c r="A21" s="143">
        <f t="shared" si="0"/>
        <v>20</v>
      </c>
      <c r="B21" s="143" t="s">
        <v>103</v>
      </c>
      <c r="C21" s="143" t="s">
        <v>226</v>
      </c>
      <c r="D21" s="143" t="s">
        <v>101</v>
      </c>
      <c r="E21" s="187">
        <v>80187189</v>
      </c>
      <c r="F21" s="143" t="s">
        <v>208</v>
      </c>
      <c r="G21" s="186"/>
    </row>
    <row r="22" spans="1:7" hidden="1" x14ac:dyDescent="0.25">
      <c r="A22" s="143">
        <f t="shared" si="0"/>
        <v>21</v>
      </c>
      <c r="B22" s="143" t="s">
        <v>103</v>
      </c>
      <c r="C22" s="143" t="s">
        <v>227</v>
      </c>
      <c r="D22" s="143" t="s">
        <v>101</v>
      </c>
      <c r="E22" s="187">
        <v>7186107</v>
      </c>
      <c r="F22" s="143" t="s">
        <v>208</v>
      </c>
      <c r="G22" s="186"/>
    </row>
    <row r="23" spans="1:7" hidden="1" x14ac:dyDescent="0.25">
      <c r="A23" s="143">
        <f t="shared" si="0"/>
        <v>22</v>
      </c>
      <c r="B23" s="143" t="s">
        <v>103</v>
      </c>
      <c r="C23" s="143" t="s">
        <v>228</v>
      </c>
      <c r="D23" s="143" t="s">
        <v>101</v>
      </c>
      <c r="E23" s="187">
        <v>80853153</v>
      </c>
      <c r="F23" s="143" t="s">
        <v>208</v>
      </c>
      <c r="G23" s="186"/>
    </row>
    <row r="24" spans="1:7" hidden="1" x14ac:dyDescent="0.25">
      <c r="A24" s="143">
        <f t="shared" si="0"/>
        <v>23</v>
      </c>
      <c r="B24" s="143" t="s">
        <v>103</v>
      </c>
      <c r="C24" s="143" t="s">
        <v>229</v>
      </c>
      <c r="D24" s="143" t="s">
        <v>101</v>
      </c>
      <c r="E24" s="187"/>
      <c r="F24" s="143" t="s">
        <v>208</v>
      </c>
    </row>
    <row r="25" spans="1:7" hidden="1" x14ac:dyDescent="0.25">
      <c r="A25" s="143">
        <f t="shared" si="0"/>
        <v>24</v>
      </c>
      <c r="B25" s="143" t="s">
        <v>103</v>
      </c>
      <c r="C25" s="143" t="s">
        <v>229</v>
      </c>
      <c r="D25" s="143" t="s">
        <v>101</v>
      </c>
      <c r="E25" s="187"/>
      <c r="F25" s="143" t="s">
        <v>206</v>
      </c>
    </row>
    <row r="26" spans="1:7" hidden="1" x14ac:dyDescent="0.25">
      <c r="A26" s="143">
        <f t="shared" si="0"/>
        <v>25</v>
      </c>
      <c r="B26" s="143" t="s">
        <v>103</v>
      </c>
      <c r="C26" s="143" t="s">
        <v>230</v>
      </c>
      <c r="D26" s="143" t="s">
        <v>102</v>
      </c>
      <c r="E26" s="187">
        <v>7182829</v>
      </c>
      <c r="F26" s="143" t="s">
        <v>210</v>
      </c>
      <c r="G26" s="186"/>
    </row>
    <row r="27" spans="1:7" hidden="1" x14ac:dyDescent="0.25">
      <c r="A27" s="143">
        <f t="shared" si="0"/>
        <v>26</v>
      </c>
      <c r="B27" s="143" t="s">
        <v>103</v>
      </c>
      <c r="C27" s="143" t="s">
        <v>209</v>
      </c>
      <c r="D27" s="143" t="s">
        <v>101</v>
      </c>
      <c r="E27" s="187"/>
      <c r="F27" s="143" t="s">
        <v>208</v>
      </c>
      <c r="G27" s="186"/>
    </row>
    <row r="28" spans="1:7" hidden="1" x14ac:dyDescent="0.25">
      <c r="A28" s="143">
        <f t="shared" si="0"/>
        <v>27</v>
      </c>
      <c r="B28" s="143" t="s">
        <v>103</v>
      </c>
      <c r="C28" s="143" t="s">
        <v>209</v>
      </c>
      <c r="D28" s="143" t="s">
        <v>273</v>
      </c>
      <c r="E28" s="187"/>
      <c r="F28" s="143" t="s">
        <v>208</v>
      </c>
    </row>
    <row r="29" spans="1:7" hidden="1" x14ac:dyDescent="0.25">
      <c r="A29" s="143">
        <f t="shared" si="0"/>
        <v>28</v>
      </c>
      <c r="B29" s="143" t="s">
        <v>103</v>
      </c>
      <c r="C29" s="143" t="s">
        <v>231</v>
      </c>
      <c r="D29" s="143" t="s">
        <v>101</v>
      </c>
      <c r="E29" s="187">
        <v>79442048</v>
      </c>
      <c r="F29" s="143" t="s">
        <v>208</v>
      </c>
      <c r="G29" s="186"/>
    </row>
    <row r="30" spans="1:7" hidden="1" x14ac:dyDescent="0.25">
      <c r="A30" s="143">
        <f t="shared" si="0"/>
        <v>29</v>
      </c>
      <c r="B30" s="143" t="s">
        <v>103</v>
      </c>
      <c r="C30" s="143" t="s">
        <v>232</v>
      </c>
      <c r="D30" s="143" t="s">
        <v>101</v>
      </c>
      <c r="E30" s="187">
        <v>79357680</v>
      </c>
      <c r="F30" s="143" t="s">
        <v>208</v>
      </c>
    </row>
    <row r="31" spans="1:7" hidden="1" x14ac:dyDescent="0.25">
      <c r="A31" s="143">
        <f>+A30+1</f>
        <v>30</v>
      </c>
      <c r="B31" s="143" t="s">
        <v>103</v>
      </c>
      <c r="C31" s="143" t="s">
        <v>233</v>
      </c>
      <c r="D31" s="143" t="s">
        <v>260</v>
      </c>
      <c r="E31" s="187">
        <v>1057514169</v>
      </c>
      <c r="F31" s="143" t="s">
        <v>207</v>
      </c>
    </row>
    <row r="32" spans="1:7" hidden="1" x14ac:dyDescent="0.25">
      <c r="A32" s="143">
        <f t="shared" si="0"/>
        <v>31</v>
      </c>
      <c r="B32" s="143" t="s">
        <v>103</v>
      </c>
      <c r="C32" s="143" t="s">
        <v>234</v>
      </c>
      <c r="D32" s="143" t="s">
        <v>272</v>
      </c>
      <c r="E32" s="187">
        <v>11228781</v>
      </c>
      <c r="F32" s="143" t="s">
        <v>152</v>
      </c>
      <c r="G32" s="186"/>
    </row>
    <row r="33" spans="1:7" hidden="1" x14ac:dyDescent="0.25">
      <c r="A33" s="143">
        <f>+A32+1</f>
        <v>32</v>
      </c>
      <c r="B33" s="143" t="s">
        <v>103</v>
      </c>
      <c r="C33" s="143" t="s">
        <v>235</v>
      </c>
      <c r="D33" s="143" t="s">
        <v>101</v>
      </c>
      <c r="E33" s="187">
        <v>80756848</v>
      </c>
      <c r="F33" s="143" t="s">
        <v>208</v>
      </c>
      <c r="G33" s="186"/>
    </row>
    <row r="34" spans="1:7" hidden="1" x14ac:dyDescent="0.25">
      <c r="A34" s="143">
        <f>+A33+1</f>
        <v>33</v>
      </c>
      <c r="B34" s="143" t="s">
        <v>103</v>
      </c>
      <c r="C34" s="143" t="s">
        <v>236</v>
      </c>
      <c r="D34" s="143" t="s">
        <v>101</v>
      </c>
      <c r="E34" s="187">
        <v>79884976</v>
      </c>
      <c r="F34" s="143" t="s">
        <v>208</v>
      </c>
    </row>
    <row r="35" spans="1:7" hidden="1" x14ac:dyDescent="0.25">
      <c r="A35" s="143">
        <f t="shared" si="0"/>
        <v>34</v>
      </c>
      <c r="B35" s="143" t="s">
        <v>103</v>
      </c>
      <c r="C35" s="143" t="s">
        <v>237</v>
      </c>
      <c r="D35" s="143" t="s">
        <v>101</v>
      </c>
      <c r="E35" s="187">
        <v>80068226</v>
      </c>
      <c r="F35" s="143" t="s">
        <v>208</v>
      </c>
      <c r="G35" s="186"/>
    </row>
    <row r="36" spans="1:7" hidden="1" x14ac:dyDescent="0.25">
      <c r="A36" s="143">
        <f t="shared" si="0"/>
        <v>35</v>
      </c>
      <c r="B36" s="143" t="s">
        <v>103</v>
      </c>
      <c r="C36" s="143" t="s">
        <v>238</v>
      </c>
      <c r="D36" s="143" t="s">
        <v>101</v>
      </c>
      <c r="E36" s="187">
        <v>7164619</v>
      </c>
      <c r="F36" s="143" t="s">
        <v>208</v>
      </c>
      <c r="G36" s="186"/>
    </row>
    <row r="37" spans="1:7" hidden="1" x14ac:dyDescent="0.25">
      <c r="A37" s="143">
        <f t="shared" si="0"/>
        <v>36</v>
      </c>
      <c r="B37" s="143" t="s">
        <v>103</v>
      </c>
      <c r="C37" s="143" t="s">
        <v>239</v>
      </c>
      <c r="D37" s="143" t="s">
        <v>272</v>
      </c>
      <c r="E37" s="187">
        <v>80258095</v>
      </c>
      <c r="F37" s="143" t="s">
        <v>152</v>
      </c>
      <c r="G37" s="186"/>
    </row>
    <row r="38" spans="1:7" hidden="1" x14ac:dyDescent="0.25">
      <c r="A38" s="143">
        <f t="shared" si="0"/>
        <v>37</v>
      </c>
      <c r="B38" s="143" t="s">
        <v>103</v>
      </c>
      <c r="C38" s="143" t="s">
        <v>240</v>
      </c>
      <c r="D38" s="143" t="s">
        <v>272</v>
      </c>
      <c r="E38" s="187">
        <v>79757195</v>
      </c>
      <c r="F38" s="143" t="s">
        <v>152</v>
      </c>
      <c r="G38" s="186"/>
    </row>
    <row r="39" spans="1:7" hidden="1" x14ac:dyDescent="0.25">
      <c r="A39" s="143">
        <f t="shared" si="0"/>
        <v>38</v>
      </c>
      <c r="B39" s="143" t="s">
        <v>103</v>
      </c>
      <c r="C39" s="143" t="s">
        <v>241</v>
      </c>
      <c r="D39" s="143" t="s">
        <v>273</v>
      </c>
      <c r="E39" s="187">
        <v>80736676</v>
      </c>
      <c r="F39" s="143" t="s">
        <v>208</v>
      </c>
      <c r="G39" s="186"/>
    </row>
    <row r="40" spans="1:7" hidden="1" x14ac:dyDescent="0.25">
      <c r="A40" s="143">
        <f t="shared" si="0"/>
        <v>39</v>
      </c>
      <c r="B40" s="143" t="s">
        <v>103</v>
      </c>
      <c r="C40" s="143" t="s">
        <v>242</v>
      </c>
      <c r="D40" s="143" t="s">
        <v>101</v>
      </c>
      <c r="E40" s="187">
        <v>10294822</v>
      </c>
      <c r="F40" s="143" t="s">
        <v>208</v>
      </c>
      <c r="G40" s="186"/>
    </row>
    <row r="41" spans="1:7" hidden="1" x14ac:dyDescent="0.25">
      <c r="A41" s="143">
        <f t="shared" si="0"/>
        <v>40</v>
      </c>
      <c r="B41" s="143" t="s">
        <v>103</v>
      </c>
      <c r="C41" s="143" t="s">
        <v>243</v>
      </c>
      <c r="D41" s="143" t="s">
        <v>266</v>
      </c>
      <c r="E41" s="187">
        <v>11185566</v>
      </c>
      <c r="F41" s="143" t="s">
        <v>208</v>
      </c>
      <c r="G41" s="186"/>
    </row>
    <row r="42" spans="1:7" hidden="1" x14ac:dyDescent="0.25">
      <c r="A42" s="143">
        <f t="shared" si="0"/>
        <v>41</v>
      </c>
      <c r="B42" s="143" t="s">
        <v>103</v>
      </c>
      <c r="C42" s="143" t="s">
        <v>243</v>
      </c>
      <c r="D42" s="143" t="s">
        <v>266</v>
      </c>
      <c r="E42" s="187">
        <v>11185566</v>
      </c>
      <c r="F42" s="143" t="s">
        <v>211</v>
      </c>
      <c r="G42" s="186"/>
    </row>
    <row r="43" spans="1:7" hidden="1" x14ac:dyDescent="0.25">
      <c r="A43" s="143">
        <f t="shared" si="0"/>
        <v>42</v>
      </c>
      <c r="B43" s="143" t="s">
        <v>103</v>
      </c>
      <c r="C43" s="143" t="s">
        <v>243</v>
      </c>
      <c r="D43" s="143" t="s">
        <v>266</v>
      </c>
      <c r="E43" s="187">
        <v>11185566</v>
      </c>
      <c r="F43" s="143" t="s">
        <v>206</v>
      </c>
      <c r="G43" s="186"/>
    </row>
    <row r="44" spans="1:7" x14ac:dyDescent="0.25">
      <c r="A44" s="143">
        <f>+A43+1</f>
        <v>43</v>
      </c>
      <c r="B44" s="143" t="s">
        <v>103</v>
      </c>
      <c r="C44" s="143" t="s">
        <v>244</v>
      </c>
      <c r="D44" s="143" t="s">
        <v>102</v>
      </c>
      <c r="E44" s="187">
        <v>16288213</v>
      </c>
      <c r="F44" s="143" t="s">
        <v>154</v>
      </c>
      <c r="G44" s="186"/>
    </row>
    <row r="45" spans="1:7" hidden="1" x14ac:dyDescent="0.25">
      <c r="A45" s="143">
        <f t="shared" si="0"/>
        <v>44</v>
      </c>
      <c r="B45" s="143" t="s">
        <v>103</v>
      </c>
      <c r="C45" s="143" t="s">
        <v>244</v>
      </c>
      <c r="D45" s="143" t="s">
        <v>102</v>
      </c>
      <c r="E45" s="187">
        <v>16288213</v>
      </c>
      <c r="F45" s="143" t="s">
        <v>206</v>
      </c>
      <c r="G45" s="186"/>
    </row>
    <row r="46" spans="1:7" hidden="1" x14ac:dyDescent="0.25">
      <c r="A46" s="143">
        <f>+A45+1</f>
        <v>45</v>
      </c>
      <c r="B46" s="143" t="s">
        <v>103</v>
      </c>
      <c r="C46" s="143" t="s">
        <v>245</v>
      </c>
      <c r="D46" s="143" t="s">
        <v>101</v>
      </c>
      <c r="E46" s="187">
        <v>79430854</v>
      </c>
      <c r="F46" s="143" t="s">
        <v>208</v>
      </c>
      <c r="G46" s="186"/>
    </row>
    <row r="47" spans="1:7" hidden="1" x14ac:dyDescent="0.25">
      <c r="A47" s="143">
        <f t="shared" si="0"/>
        <v>46</v>
      </c>
      <c r="B47" s="143" t="s">
        <v>103</v>
      </c>
      <c r="C47" s="143" t="s">
        <v>245</v>
      </c>
      <c r="D47" s="143" t="s">
        <v>101</v>
      </c>
      <c r="E47" s="187">
        <v>79430854</v>
      </c>
      <c r="F47" s="143" t="s">
        <v>211</v>
      </c>
      <c r="G47" s="186"/>
    </row>
    <row r="48" spans="1:7" hidden="1" x14ac:dyDescent="0.25">
      <c r="A48" s="143">
        <f t="shared" si="0"/>
        <v>47</v>
      </c>
      <c r="B48" s="143" t="s">
        <v>103</v>
      </c>
      <c r="C48" s="143" t="s">
        <v>245</v>
      </c>
      <c r="D48" s="143" t="s">
        <v>101</v>
      </c>
      <c r="E48" s="187">
        <v>79430854</v>
      </c>
      <c r="F48" s="143" t="s">
        <v>206</v>
      </c>
      <c r="G48" s="186"/>
    </row>
    <row r="49" spans="1:7" hidden="1" x14ac:dyDescent="0.25">
      <c r="A49" s="143">
        <f t="shared" si="0"/>
        <v>48</v>
      </c>
      <c r="B49" s="143" t="s">
        <v>103</v>
      </c>
      <c r="C49" s="143" t="s">
        <v>246</v>
      </c>
      <c r="D49" s="143" t="s">
        <v>101</v>
      </c>
      <c r="E49" s="187">
        <v>79748989</v>
      </c>
      <c r="F49" s="143" t="s">
        <v>208</v>
      </c>
      <c r="G49" s="186"/>
    </row>
    <row r="50" spans="1:7" hidden="1" x14ac:dyDescent="0.25">
      <c r="A50" s="143">
        <f t="shared" si="0"/>
        <v>49</v>
      </c>
      <c r="B50" s="143" t="s">
        <v>103</v>
      </c>
      <c r="C50" s="143" t="s">
        <v>247</v>
      </c>
      <c r="D50" s="143" t="s">
        <v>102</v>
      </c>
      <c r="E50" s="187">
        <v>79956389</v>
      </c>
      <c r="F50" s="143" t="s">
        <v>211</v>
      </c>
      <c r="G50" s="186"/>
    </row>
    <row r="51" spans="1:7" hidden="1" x14ac:dyDescent="0.25">
      <c r="A51" s="143">
        <f t="shared" si="0"/>
        <v>50</v>
      </c>
      <c r="B51" s="143" t="s">
        <v>103</v>
      </c>
      <c r="C51" s="143" t="s">
        <v>247</v>
      </c>
      <c r="D51" s="143" t="s">
        <v>102</v>
      </c>
      <c r="E51" s="187">
        <v>79956389</v>
      </c>
      <c r="F51" s="143" t="s">
        <v>206</v>
      </c>
      <c r="G51" s="186"/>
    </row>
    <row r="52" spans="1:7" hidden="1" x14ac:dyDescent="0.25">
      <c r="A52" s="143">
        <f t="shared" si="0"/>
        <v>51</v>
      </c>
      <c r="B52" s="143" t="s">
        <v>103</v>
      </c>
      <c r="C52" s="143" t="s">
        <v>248</v>
      </c>
      <c r="D52" s="143" t="s">
        <v>101</v>
      </c>
      <c r="E52" s="187">
        <v>52899089</v>
      </c>
      <c r="F52" s="143" t="s">
        <v>208</v>
      </c>
      <c r="G52" s="186"/>
    </row>
    <row r="53" spans="1:7" hidden="1" x14ac:dyDescent="0.25">
      <c r="A53" s="143">
        <f t="shared" si="0"/>
        <v>52</v>
      </c>
      <c r="B53" s="143" t="s">
        <v>103</v>
      </c>
      <c r="C53" s="143" t="s">
        <v>249</v>
      </c>
      <c r="D53" s="143" t="s">
        <v>260</v>
      </c>
      <c r="E53" s="187">
        <v>1018411531</v>
      </c>
      <c r="F53" s="143" t="s">
        <v>207</v>
      </c>
      <c r="G53" s="186"/>
    </row>
    <row r="54" spans="1:7" hidden="1" x14ac:dyDescent="0.25">
      <c r="A54" s="143">
        <f t="shared" si="0"/>
        <v>53</v>
      </c>
      <c r="B54" s="143" t="s">
        <v>103</v>
      </c>
      <c r="C54" s="143" t="s">
        <v>250</v>
      </c>
      <c r="D54" s="143" t="s">
        <v>101</v>
      </c>
      <c r="E54" s="187">
        <v>79467235</v>
      </c>
      <c r="F54" s="143" t="s">
        <v>208</v>
      </c>
      <c r="G54" s="186"/>
    </row>
    <row r="55" spans="1:7" hidden="1" x14ac:dyDescent="0.25">
      <c r="A55" s="143">
        <f>+A54+1</f>
        <v>54</v>
      </c>
      <c r="B55" s="143" t="s">
        <v>103</v>
      </c>
      <c r="C55" s="143" t="s">
        <v>251</v>
      </c>
      <c r="D55" s="143" t="s">
        <v>101</v>
      </c>
      <c r="E55" s="187">
        <v>80793538</v>
      </c>
      <c r="F55" s="143" t="s">
        <v>208</v>
      </c>
      <c r="G55" s="186"/>
    </row>
    <row r="56" spans="1:7" hidden="1" x14ac:dyDescent="0.25">
      <c r="A56" s="143">
        <f t="shared" si="0"/>
        <v>55</v>
      </c>
      <c r="B56" s="143" t="s">
        <v>103</v>
      </c>
      <c r="C56" s="143" t="s">
        <v>252</v>
      </c>
      <c r="D56" s="143" t="s">
        <v>102</v>
      </c>
      <c r="E56" s="187">
        <v>91078608</v>
      </c>
      <c r="F56" s="143" t="s">
        <v>206</v>
      </c>
      <c r="G56" s="186"/>
    </row>
    <row r="57" spans="1:7" x14ac:dyDescent="0.25">
      <c r="A57" s="143">
        <f t="shared" si="0"/>
        <v>56</v>
      </c>
      <c r="B57" s="143" t="s">
        <v>103</v>
      </c>
      <c r="C57" s="143" t="s">
        <v>252</v>
      </c>
      <c r="D57" s="143" t="s">
        <v>102</v>
      </c>
      <c r="E57" s="187">
        <v>91078608</v>
      </c>
      <c r="F57" s="143" t="s">
        <v>154</v>
      </c>
      <c r="G57" s="186"/>
    </row>
    <row r="58" spans="1:7" hidden="1" x14ac:dyDescent="0.25">
      <c r="A58" s="143">
        <f t="shared" si="0"/>
        <v>57</v>
      </c>
      <c r="B58" s="143" t="s">
        <v>103</v>
      </c>
      <c r="C58" s="143" t="s">
        <v>253</v>
      </c>
      <c r="D58" s="143" t="s">
        <v>101</v>
      </c>
      <c r="E58" s="187">
        <v>364253</v>
      </c>
      <c r="F58" s="143" t="s">
        <v>208</v>
      </c>
      <c r="G58" s="186"/>
    </row>
    <row r="59" spans="1:7" hidden="1" x14ac:dyDescent="0.25">
      <c r="A59" s="143">
        <f>+A58+1</f>
        <v>58</v>
      </c>
      <c r="B59" s="143" t="s">
        <v>103</v>
      </c>
      <c r="C59" s="143" t="s">
        <v>254</v>
      </c>
      <c r="D59" s="143" t="s">
        <v>101</v>
      </c>
      <c r="E59" s="187">
        <v>33677900</v>
      </c>
      <c r="F59" s="143" t="s">
        <v>208</v>
      </c>
      <c r="G59" s="186"/>
    </row>
    <row r="60" spans="1:7" hidden="1" x14ac:dyDescent="0.25">
      <c r="A60" s="143">
        <f t="shared" si="0"/>
        <v>59</v>
      </c>
      <c r="B60" s="143" t="s">
        <v>103</v>
      </c>
      <c r="C60" s="143" t="s">
        <v>255</v>
      </c>
      <c r="D60" s="143" t="s">
        <v>101</v>
      </c>
      <c r="E60" s="187">
        <v>79985698</v>
      </c>
      <c r="F60" s="143" t="s">
        <v>208</v>
      </c>
      <c r="G60" s="186"/>
    </row>
    <row r="61" spans="1:7" hidden="1" x14ac:dyDescent="0.25">
      <c r="A61" s="143">
        <f t="shared" si="0"/>
        <v>60</v>
      </c>
      <c r="B61" s="143" t="s">
        <v>103</v>
      </c>
      <c r="C61" s="143" t="s">
        <v>256</v>
      </c>
      <c r="D61" s="143" t="s">
        <v>101</v>
      </c>
      <c r="E61" s="187">
        <v>72284101</v>
      </c>
      <c r="F61" s="143" t="s">
        <v>208</v>
      </c>
      <c r="G61" s="186"/>
    </row>
    <row r="62" spans="1:7" hidden="1" x14ac:dyDescent="0.25">
      <c r="A62" s="143">
        <f t="shared" si="0"/>
        <v>61</v>
      </c>
      <c r="B62" s="143" t="s">
        <v>103</v>
      </c>
      <c r="C62" s="143" t="s">
        <v>257</v>
      </c>
      <c r="D62" s="143" t="s">
        <v>101</v>
      </c>
      <c r="E62" s="187">
        <v>79289867</v>
      </c>
      <c r="F62" s="143" t="s">
        <v>208</v>
      </c>
      <c r="G62" s="186"/>
    </row>
    <row r="63" spans="1:7" s="179" customFormat="1" hidden="1" x14ac:dyDescent="0.25">
      <c r="A63" s="188">
        <f t="shared" si="0"/>
        <v>62</v>
      </c>
      <c r="B63" s="188" t="s">
        <v>103</v>
      </c>
      <c r="C63" s="188" t="s">
        <v>258</v>
      </c>
      <c r="D63" s="188" t="s">
        <v>274</v>
      </c>
      <c r="E63" s="189">
        <v>51937089</v>
      </c>
      <c r="F63" s="188" t="s">
        <v>208</v>
      </c>
      <c r="G63" s="193"/>
    </row>
    <row r="64" spans="1:7" s="179" customFormat="1" hidden="1" x14ac:dyDescent="0.25">
      <c r="A64" s="188">
        <f t="shared" si="0"/>
        <v>63</v>
      </c>
      <c r="B64" s="188" t="s">
        <v>103</v>
      </c>
      <c r="C64" s="188" t="s">
        <v>258</v>
      </c>
      <c r="D64" s="188" t="s">
        <v>274</v>
      </c>
      <c r="E64" s="189"/>
      <c r="F64" s="188" t="s">
        <v>211</v>
      </c>
      <c r="G64" s="193"/>
    </row>
    <row r="65" spans="1:7" s="179" customFormat="1" hidden="1" x14ac:dyDescent="0.25">
      <c r="A65" s="188">
        <f t="shared" si="0"/>
        <v>64</v>
      </c>
      <c r="B65" s="188" t="s">
        <v>103</v>
      </c>
      <c r="C65" s="188" t="s">
        <v>258</v>
      </c>
      <c r="D65" s="188" t="s">
        <v>274</v>
      </c>
      <c r="E65" s="189"/>
      <c r="F65" s="188" t="s">
        <v>206</v>
      </c>
      <c r="G65" s="193"/>
    </row>
    <row r="66" spans="1:7" hidden="1" x14ac:dyDescent="0.25">
      <c r="A66" s="143">
        <f t="shared" si="0"/>
        <v>65</v>
      </c>
      <c r="B66" s="143" t="s">
        <v>103</v>
      </c>
      <c r="C66" s="143" t="s">
        <v>259</v>
      </c>
      <c r="D66" s="143" t="s">
        <v>101</v>
      </c>
      <c r="E66" s="187">
        <v>79632597</v>
      </c>
      <c r="F66" s="143" t="s">
        <v>208</v>
      </c>
      <c r="G66" s="186"/>
    </row>
    <row r="67" spans="1:7" hidden="1" x14ac:dyDescent="0.25">
      <c r="A67" s="143">
        <f t="shared" si="0"/>
        <v>66</v>
      </c>
      <c r="B67" s="143" t="s">
        <v>103</v>
      </c>
      <c r="C67" s="143" t="s">
        <v>259</v>
      </c>
      <c r="D67" s="143" t="s">
        <v>101</v>
      </c>
      <c r="E67" s="187">
        <v>79632597</v>
      </c>
      <c r="F67" s="143" t="s">
        <v>211</v>
      </c>
    </row>
    <row r="68" spans="1:7" hidden="1" x14ac:dyDescent="0.25">
      <c r="A68" s="143">
        <f t="shared" si="0"/>
        <v>67</v>
      </c>
      <c r="B68" s="143" t="s">
        <v>103</v>
      </c>
      <c r="C68" s="143" t="s">
        <v>259</v>
      </c>
      <c r="D68" s="143" t="s">
        <v>101</v>
      </c>
      <c r="E68" s="187">
        <v>79632597</v>
      </c>
      <c r="F68" s="143" t="s">
        <v>206</v>
      </c>
      <c r="G68" s="186"/>
    </row>
    <row r="69" spans="1:7" hidden="1" x14ac:dyDescent="0.25">
      <c r="A69" s="143">
        <f>1+A67</f>
        <v>67</v>
      </c>
      <c r="B69" s="143" t="s">
        <v>103</v>
      </c>
      <c r="C69" s="143" t="s">
        <v>278</v>
      </c>
      <c r="D69" s="143" t="s">
        <v>260</v>
      </c>
      <c r="E69" s="187">
        <v>1118547962</v>
      </c>
      <c r="F69" s="143" t="s">
        <v>207</v>
      </c>
      <c r="G69" s="186"/>
    </row>
    <row r="70" spans="1:7" hidden="1" x14ac:dyDescent="0.25">
      <c r="A70" s="143">
        <f>1+A68</f>
        <v>68</v>
      </c>
      <c r="B70" s="143" t="s">
        <v>103</v>
      </c>
      <c r="C70" s="143" t="s">
        <v>260</v>
      </c>
      <c r="D70" s="143" t="s">
        <v>260</v>
      </c>
      <c r="E70" s="187"/>
      <c r="F70" s="143" t="s">
        <v>207</v>
      </c>
      <c r="G70" s="186"/>
    </row>
    <row r="71" spans="1:7" hidden="1" x14ac:dyDescent="0.25">
      <c r="A71" s="143">
        <f t="shared" ref="A71:A80" si="1">1+A70</f>
        <v>69</v>
      </c>
      <c r="B71" s="143" t="s">
        <v>103</v>
      </c>
      <c r="C71" s="143" t="s">
        <v>261</v>
      </c>
      <c r="D71" s="143" t="s">
        <v>101</v>
      </c>
      <c r="E71" s="187">
        <v>52008835</v>
      </c>
      <c r="F71" s="143" t="s">
        <v>208</v>
      </c>
      <c r="G71" s="186"/>
    </row>
    <row r="72" spans="1:7" hidden="1" x14ac:dyDescent="0.25">
      <c r="A72" s="143">
        <f>+A71+1</f>
        <v>70</v>
      </c>
      <c r="B72" s="143" t="s">
        <v>103</v>
      </c>
      <c r="C72" s="143" t="s">
        <v>262</v>
      </c>
      <c r="D72" s="143" t="s">
        <v>101</v>
      </c>
      <c r="E72" s="187">
        <v>79800497</v>
      </c>
      <c r="F72" s="143" t="s">
        <v>208</v>
      </c>
      <c r="G72" s="186"/>
    </row>
    <row r="73" spans="1:7" hidden="1" x14ac:dyDescent="0.25">
      <c r="A73" s="143">
        <f t="shared" si="1"/>
        <v>71</v>
      </c>
      <c r="B73" s="143" t="s">
        <v>103</v>
      </c>
      <c r="C73" s="143" t="s">
        <v>229</v>
      </c>
      <c r="D73" s="143" t="s">
        <v>101</v>
      </c>
      <c r="E73" s="187">
        <v>79890314</v>
      </c>
      <c r="F73" s="143" t="s">
        <v>208</v>
      </c>
      <c r="G73" s="186"/>
    </row>
    <row r="74" spans="1:7" hidden="1" x14ac:dyDescent="0.25">
      <c r="A74" s="143">
        <f>+A73+1</f>
        <v>72</v>
      </c>
      <c r="B74" s="143" t="s">
        <v>103</v>
      </c>
      <c r="C74" s="143" t="s">
        <v>263</v>
      </c>
      <c r="D74" s="143" t="s">
        <v>273</v>
      </c>
      <c r="E74" s="187">
        <v>79911382</v>
      </c>
      <c r="F74" s="143" t="s">
        <v>208</v>
      </c>
      <c r="G74" s="186"/>
    </row>
    <row r="75" spans="1:7" hidden="1" x14ac:dyDescent="0.25">
      <c r="A75" s="143">
        <f t="shared" si="1"/>
        <v>73</v>
      </c>
      <c r="B75" s="143" t="s">
        <v>103</v>
      </c>
      <c r="C75" s="143" t="s">
        <v>264</v>
      </c>
      <c r="D75" s="143" t="s">
        <v>101</v>
      </c>
      <c r="E75" s="187">
        <v>79835210</v>
      </c>
      <c r="F75" s="143" t="s">
        <v>208</v>
      </c>
      <c r="G75" s="186"/>
    </row>
    <row r="76" spans="1:7" hidden="1" x14ac:dyDescent="0.25">
      <c r="A76" s="143">
        <f t="shared" si="1"/>
        <v>74</v>
      </c>
      <c r="B76" s="143" t="s">
        <v>103</v>
      </c>
      <c r="C76" s="143" t="s">
        <v>265</v>
      </c>
      <c r="D76" s="143" t="s">
        <v>101</v>
      </c>
      <c r="E76" s="187">
        <v>4616354</v>
      </c>
      <c r="F76" s="143" t="s">
        <v>208</v>
      </c>
      <c r="G76" s="186"/>
    </row>
    <row r="77" spans="1:7" hidden="1" x14ac:dyDescent="0.25">
      <c r="A77" s="143">
        <f t="shared" si="1"/>
        <v>75</v>
      </c>
      <c r="B77" s="143" t="s">
        <v>103</v>
      </c>
      <c r="C77" s="143" t="s">
        <v>266</v>
      </c>
      <c r="D77" s="143" t="s">
        <v>266</v>
      </c>
      <c r="E77" s="187"/>
      <c r="F77" s="143" t="s">
        <v>208</v>
      </c>
      <c r="G77" s="186"/>
    </row>
    <row r="78" spans="1:7" hidden="1" x14ac:dyDescent="0.25">
      <c r="A78" s="143">
        <f t="shared" si="1"/>
        <v>76</v>
      </c>
      <c r="B78" s="143" t="s">
        <v>103</v>
      </c>
      <c r="C78" s="143" t="s">
        <v>266</v>
      </c>
      <c r="D78" s="143" t="s">
        <v>266</v>
      </c>
      <c r="E78" s="187"/>
      <c r="F78" s="143" t="s">
        <v>211</v>
      </c>
      <c r="G78" s="186"/>
    </row>
    <row r="79" spans="1:7" hidden="1" x14ac:dyDescent="0.25">
      <c r="A79" s="143">
        <f t="shared" si="1"/>
        <v>77</v>
      </c>
      <c r="B79" s="143" t="s">
        <v>103</v>
      </c>
      <c r="C79" s="143" t="s">
        <v>266</v>
      </c>
      <c r="D79" s="143" t="s">
        <v>266</v>
      </c>
      <c r="E79" s="187"/>
      <c r="F79" s="143" t="s">
        <v>206</v>
      </c>
      <c r="G79" s="186"/>
    </row>
    <row r="80" spans="1:7" hidden="1" x14ac:dyDescent="0.25">
      <c r="A80" s="143">
        <f t="shared" si="1"/>
        <v>78</v>
      </c>
      <c r="B80" s="143" t="s">
        <v>103</v>
      </c>
      <c r="C80" s="143" t="s">
        <v>267</v>
      </c>
      <c r="D80" s="143" t="s">
        <v>102</v>
      </c>
      <c r="E80" s="187">
        <v>79414249</v>
      </c>
      <c r="F80" s="143" t="s">
        <v>206</v>
      </c>
      <c r="G80" s="186"/>
    </row>
    <row r="81" spans="1:7" hidden="1" x14ac:dyDescent="0.25">
      <c r="A81" s="143">
        <f>+A80+1</f>
        <v>79</v>
      </c>
      <c r="B81" s="143" t="s">
        <v>103</v>
      </c>
      <c r="C81" s="143" t="s">
        <v>268</v>
      </c>
      <c r="D81" s="143" t="s">
        <v>101</v>
      </c>
      <c r="E81" s="187">
        <v>79894191</v>
      </c>
      <c r="F81" s="143" t="s">
        <v>208</v>
      </c>
      <c r="G81" s="186"/>
    </row>
    <row r="82" spans="1:7" hidden="1" x14ac:dyDescent="0.25">
      <c r="A82" s="143">
        <f t="shared" ref="A82" si="2">+A81+1</f>
        <v>80</v>
      </c>
      <c r="B82" s="143" t="s">
        <v>103</v>
      </c>
      <c r="C82" s="143" t="s">
        <v>269</v>
      </c>
      <c r="D82" s="143" t="s">
        <v>101</v>
      </c>
      <c r="E82" s="187">
        <v>79821258</v>
      </c>
      <c r="F82" s="143" t="s">
        <v>208</v>
      </c>
      <c r="G82" s="186"/>
    </row>
  </sheetData>
  <autoFilter ref="A1:G82">
    <filterColumn colId="5">
      <filters>
        <filter val="VISIO"/>
      </filters>
    </filterColumn>
  </autoFilter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2"/>
  <sheetViews>
    <sheetView workbookViewId="0">
      <selection activeCell="B5" sqref="B5"/>
    </sheetView>
  </sheetViews>
  <sheetFormatPr baseColWidth="10" defaultRowHeight="15" x14ac:dyDescent="0.25"/>
  <cols>
    <col min="1" max="1" width="25.42578125" customWidth="1"/>
    <col min="2" max="2" width="22.5703125" bestFit="1" customWidth="1"/>
    <col min="3" max="3" width="20.28515625" customWidth="1"/>
    <col min="4" max="4" width="29.42578125" bestFit="1" customWidth="1"/>
    <col min="5" max="5" width="18.85546875" customWidth="1"/>
    <col min="6" max="6" width="17.5703125" customWidth="1"/>
    <col min="7" max="7" width="5.85546875" customWidth="1"/>
    <col min="8" max="8" width="24.28515625" customWidth="1"/>
    <col min="9" max="9" width="12.5703125" customWidth="1"/>
    <col min="10" max="10" width="12.5703125" bestFit="1" customWidth="1"/>
  </cols>
  <sheetData>
    <row r="3" spans="1:9" x14ac:dyDescent="0.25">
      <c r="A3" s="97" t="s">
        <v>275</v>
      </c>
      <c r="B3" s="97" t="s">
        <v>270</v>
      </c>
    </row>
    <row r="4" spans="1:9" x14ac:dyDescent="0.25">
      <c r="A4" s="97" t="s">
        <v>100</v>
      </c>
      <c r="B4" t="s">
        <v>211</v>
      </c>
      <c r="C4" t="s">
        <v>206</v>
      </c>
      <c r="D4" t="s">
        <v>159</v>
      </c>
      <c r="E4" t="s">
        <v>207</v>
      </c>
      <c r="F4" t="s">
        <v>152</v>
      </c>
      <c r="G4" t="s">
        <v>154</v>
      </c>
      <c r="H4" t="s">
        <v>208</v>
      </c>
      <c r="I4" t="s">
        <v>104</v>
      </c>
    </row>
    <row r="5" spans="1:9" x14ac:dyDescent="0.25">
      <c r="A5" s="95" t="s">
        <v>101</v>
      </c>
      <c r="B5" s="96">
        <v>2</v>
      </c>
      <c r="C5" s="96">
        <v>4</v>
      </c>
      <c r="D5" s="96"/>
      <c r="E5" s="96"/>
      <c r="F5" s="96"/>
      <c r="G5" s="96"/>
      <c r="H5" s="96">
        <v>39</v>
      </c>
      <c r="I5" s="96">
        <v>45</v>
      </c>
    </row>
    <row r="6" spans="1:9" x14ac:dyDescent="0.25">
      <c r="A6" s="95" t="s">
        <v>102</v>
      </c>
      <c r="B6" s="96">
        <v>1</v>
      </c>
      <c r="C6" s="96">
        <v>5</v>
      </c>
      <c r="D6" s="96">
        <v>1</v>
      </c>
      <c r="E6" s="96"/>
      <c r="F6" s="96"/>
      <c r="G6" s="96">
        <v>2</v>
      </c>
      <c r="H6" s="96"/>
      <c r="I6" s="96">
        <v>9</v>
      </c>
    </row>
    <row r="7" spans="1:9" x14ac:dyDescent="0.25">
      <c r="A7" s="95" t="s">
        <v>266</v>
      </c>
      <c r="B7" s="96">
        <v>3</v>
      </c>
      <c r="C7" s="96">
        <v>3</v>
      </c>
      <c r="D7" s="96"/>
      <c r="E7" s="96"/>
      <c r="F7" s="96"/>
      <c r="G7" s="96"/>
      <c r="H7" s="96">
        <v>3</v>
      </c>
      <c r="I7" s="96">
        <v>9</v>
      </c>
    </row>
    <row r="8" spans="1:9" x14ac:dyDescent="0.25">
      <c r="A8" s="95" t="s">
        <v>272</v>
      </c>
      <c r="B8" s="96"/>
      <c r="C8" s="96"/>
      <c r="D8" s="96"/>
      <c r="E8" s="96"/>
      <c r="F8" s="96">
        <v>3</v>
      </c>
      <c r="G8" s="96"/>
      <c r="H8" s="96"/>
      <c r="I8" s="96">
        <v>3</v>
      </c>
    </row>
    <row r="9" spans="1:9" x14ac:dyDescent="0.25">
      <c r="A9" s="95" t="s">
        <v>260</v>
      </c>
      <c r="B9" s="96"/>
      <c r="C9" s="96"/>
      <c r="D9" s="96"/>
      <c r="E9" s="96">
        <v>4</v>
      </c>
      <c r="F9" s="96"/>
      <c r="G9" s="96"/>
      <c r="H9" s="96"/>
      <c r="I9" s="96">
        <v>4</v>
      </c>
    </row>
    <row r="10" spans="1:9" x14ac:dyDescent="0.25">
      <c r="A10" s="95" t="s">
        <v>273</v>
      </c>
      <c r="B10" s="96"/>
      <c r="C10" s="96">
        <v>1</v>
      </c>
      <c r="D10" s="96"/>
      <c r="E10" s="96"/>
      <c r="F10" s="96"/>
      <c r="G10" s="96"/>
      <c r="H10" s="96">
        <v>5</v>
      </c>
      <c r="I10" s="96">
        <v>6</v>
      </c>
    </row>
    <row r="11" spans="1:9" x14ac:dyDescent="0.25">
      <c r="A11" s="95" t="s">
        <v>274</v>
      </c>
      <c r="B11" s="96">
        <v>1</v>
      </c>
      <c r="C11" s="96">
        <v>1</v>
      </c>
      <c r="D11" s="96"/>
      <c r="E11" s="96"/>
      <c r="F11" s="96"/>
      <c r="G11" s="96"/>
      <c r="H11" s="96">
        <v>1</v>
      </c>
      <c r="I11" s="96">
        <v>3</v>
      </c>
    </row>
    <row r="12" spans="1:9" x14ac:dyDescent="0.25">
      <c r="A12" s="95" t="s">
        <v>104</v>
      </c>
      <c r="B12" s="96">
        <v>7</v>
      </c>
      <c r="C12" s="96">
        <v>14</v>
      </c>
      <c r="D12" s="96">
        <v>1</v>
      </c>
      <c r="E12" s="96">
        <v>4</v>
      </c>
      <c r="F12" s="96">
        <v>3</v>
      </c>
      <c r="G12" s="96">
        <v>2</v>
      </c>
      <c r="H12" s="96">
        <v>48</v>
      </c>
      <c r="I12" s="96">
        <v>79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606602CCD293D4FA5F6DE500DA21E53" ma:contentTypeVersion="1" ma:contentTypeDescription="Crear nuevo documento." ma:contentTypeScope="" ma:versionID="9bb91e2b1401113e656f748c852d2743">
  <xsd:schema xmlns:xsd="http://www.w3.org/2001/XMLSchema" xmlns:xs="http://www.w3.org/2001/XMLSchema" xmlns:p="http://schemas.microsoft.com/office/2006/metadata/properties" xmlns:ns1="http://schemas.microsoft.com/sharepoint/v3" xmlns:ns2="0948c079-19c9-4a36-bb7d-d65ca794eba7" targetNamespace="http://schemas.microsoft.com/office/2006/metadata/properties" ma:root="true" ma:fieldsID="a926084e0e5c1ec1ccaf619dbbfcc2b2" ns1:_="" ns2:_="">
    <xsd:import namespace="http://schemas.microsoft.com/sharepoint/v3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1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0948c079-19c9-4a36-bb7d-d65ca794eba7">NV5X2DCNMZXR-494245674-51</_dlc_DocId>
    <_dlc_DocIdUrl xmlns="0948c079-19c9-4a36-bb7d-d65ca794eba7">
      <Url>https://www.supersociedades.gov.co/delegatura_insolvencia/auxiliares_justicia/_layouts/15/DocIdRedir.aspx?ID=NV5X2DCNMZXR-494245674-51</Url>
      <Description>NV5X2DCNMZXR-494245674-51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3DEE9A3B-521E-4300-B90C-C788F0647AE3}"/>
</file>

<file path=customXml/itemProps2.xml><?xml version="1.0" encoding="utf-8"?>
<ds:datastoreItem xmlns:ds="http://schemas.openxmlformats.org/officeDocument/2006/customXml" ds:itemID="{96B584EB-0234-4D00-9A11-09806F0D2144}"/>
</file>

<file path=customXml/itemProps3.xml><?xml version="1.0" encoding="utf-8"?>
<ds:datastoreItem xmlns:ds="http://schemas.openxmlformats.org/officeDocument/2006/customXml" ds:itemID="{7A7C296B-51C3-4C01-8167-99022FB3C42F}"/>
</file>

<file path=customXml/itemProps4.xml><?xml version="1.0" encoding="utf-8"?>
<ds:datastoreItem xmlns:ds="http://schemas.openxmlformats.org/officeDocument/2006/customXml" ds:itemID="{928F2267-F1A3-48E7-8A3E-4538C664B6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PlataformaConvergencia</vt:lpstr>
      <vt:lpstr>Comunicaciones Externas</vt:lpstr>
      <vt:lpstr>Antivirus</vt:lpstr>
      <vt:lpstr>ComunicacionesInternas</vt:lpstr>
      <vt:lpstr>Foglight</vt:lpstr>
      <vt:lpstr>CLIENTES</vt:lpstr>
      <vt:lpstr>SERVERS</vt:lpstr>
      <vt:lpstr>Ingenieros</vt:lpstr>
      <vt:lpstr>Licenciamiento</vt:lpstr>
      <vt:lpstr>CostoEquipoLicencias</vt:lpstr>
      <vt:lpstr>ConsolidadoCostoAnual</vt:lpstr>
      <vt:lpstr>InfreaDRP</vt:lpstr>
      <vt:lpstr>SONDA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 Anderson Bocanegra</dc:creator>
  <cp:lastModifiedBy>Piedad Castro Castro</cp:lastModifiedBy>
  <cp:lastPrinted>2013-10-29T22:41:36Z</cp:lastPrinted>
  <dcterms:created xsi:type="dcterms:W3CDTF">2013-10-29T19:40:17Z</dcterms:created>
  <dcterms:modified xsi:type="dcterms:W3CDTF">2016-11-16T01:08:35Z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77d3b656-ec15-4bda-989e-629564227a0b</vt:lpwstr>
  </property>
  <property fmtid="{D5CDD505-2E9C-101B-9397-08002B2CF9AE}" pid="3" name="ContentTypeId">
    <vt:lpwstr>0x0101003606602CCD293D4FA5F6DE500DA21E53</vt:lpwstr>
  </property>
  <property fmtid="{D5CDD505-2E9C-101B-9397-08002B2CF9AE}" pid="4" name="_dlc_DocIdItemGuid">
    <vt:lpwstr>dbe3e780-d1df-4853-bd7e-f5ceba2c5698</vt:lpwstr>
  </property>
</Properties>
</file>