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. Enero/"/>
    </mc:Choice>
  </mc:AlternateContent>
  <xr:revisionPtr revIDLastSave="0" documentId="14_{80FFB96D-F23F-4C35-9AE7-3B58F6C4DBA5}" xr6:coauthVersionLast="47" xr6:coauthVersionMax="47" xr10:uidLastSave="{00000000-0000-0000-0000-000000000000}"/>
  <workbookProtection workbookAlgorithmName="SHA-512" workbookHashValue="avcjiLDu9Tfw/drnV/5maDm7NtWBcIXmHkG1jNOSr1X9XG/EL7uR5619hrdW3LyK6zj0MBcA0tJnfIBx14h2yw==" workbookSaltValue="gM7epch+EgOHy65oOEr1/A==" workbookSpinCount="100000" lockStructure="1"/>
  <bookViews>
    <workbookView xWindow="28680" yWindow="690" windowWidth="19440" windowHeight="1500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B9" i="2"/>
  <c r="D7" i="2"/>
  <c r="G51" i="32"/>
  <c r="H52" i="32"/>
  <c r="C19" i="2"/>
  <c r="H53" i="32"/>
  <c r="G43" i="32"/>
  <c r="G47" i="32"/>
  <c r="G44" i="32"/>
  <c r="H47" i="32"/>
  <c r="B16" i="2"/>
  <c r="G48" i="32"/>
  <c r="B19" i="2"/>
  <c r="H49" i="32"/>
  <c r="D20" i="2"/>
  <c r="G46" i="32"/>
  <c r="G45" i="32"/>
  <c r="G50" i="32"/>
  <c r="H43" i="32"/>
  <c r="B20" i="2"/>
  <c r="D19" i="2"/>
  <c r="B7" i="2"/>
  <c r="H48" i="32"/>
  <c r="D18" i="2"/>
  <c r="H44" i="32"/>
  <c r="C9" i="2"/>
  <c r="D17" i="2"/>
  <c r="D16" i="2"/>
  <c r="H51" i="32"/>
  <c r="G49" i="32"/>
  <c r="C7" i="2"/>
  <c r="D9" i="2"/>
  <c r="H45" i="32"/>
  <c r="C20" i="2"/>
  <c r="C16" i="2"/>
  <c r="B17" i="2"/>
  <c r="B18" i="2"/>
  <c r="H46" i="32"/>
  <c r="G53" i="32"/>
  <c r="G52" i="32"/>
  <c r="C18" i="2"/>
  <c r="C10" i="2"/>
  <c r="C17" i="2"/>
  <c r="H50" i="32"/>
  <c r="B10" i="2"/>
  <c r="G42" i="32"/>
  <c r="H42" i="32"/>
  <c r="D10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D15" i="32"/>
  <c r="P15" i="32" s="1"/>
  <c r="K72" i="11" s="1"/>
  <c r="P14" i="32" l="1"/>
  <c r="K71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0" i="11" l="1"/>
  <c r="I103" i="11"/>
  <c r="I101" i="11"/>
  <c r="I100" i="11"/>
  <c r="E7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8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3" i="11" l="1"/>
  <c r="F97" i="11"/>
  <c r="F94" i="11"/>
  <c r="F101" i="11"/>
  <c r="F102" i="11"/>
  <c r="F93" i="11"/>
  <c r="F95" i="11"/>
  <c r="F92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<sst xmlns="http://schemas.openxmlformats.org/spreadsheetml/2006/main" count="2303" uniqueCount="205">
  <si>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</si>
  <si>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</si>
  <si>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</si>
  <si>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</si>
  <si>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</si>
  <si>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</si>
  <si>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</si>
  <si>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</si>
  <si>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</si>
  <si>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</si>
  <si>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</si>
  <si>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</si>
  <si>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</si>
  <si>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</si>
  <si>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</si>
  <si>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</si>
  <si>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</si>
  <si>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</si>
  <si>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</si>
  <si>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</si>
  <si>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</si>
  <si>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</si>
  <si>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</si>
  <si>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</si>
  <si>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</si>
  <si>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</si>
  <si>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</si>
  <si>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</si>
  <si>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</si>
  <si>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</si>
  <si>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</si>
  <si>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</si>
  <si>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</si>
  <si>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</si>
  <si>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</si>
  <si>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</si>
  <si>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</si>
  <si>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</si>
  <si>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</si>
  <si>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</si>
  <si>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</si>
  <si>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</si>
  <si>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</si>
  <si>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</si>
  <si>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</si>
  <si>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</si>
  <si>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</si>
  <si>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</si>
  <si>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</si>
  <si>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</si>
  <si>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</si>
  <si>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</si>
  <si>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</si>
  <si>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</si>
  <si>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</si>
  <si>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</si>
  <si>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</si>
  <si>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</si>
  <si>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</si>
  <si>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</si>
  <si>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</si>
  <si>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</si>
  <si>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</si>
  <si>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</si>
  <si>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</si>
  <si>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</si>
  <si>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</si>
  <si>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</si>
  <si>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</si>
  <si>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</si>
  <si>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</si>
  <si>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</si>
  <si>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</si>
  <si>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</si>
  <si>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</si>
  <si>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</si>
  <si>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</si>
  <si>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</si>
  <si>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</si>
  <si>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</si>
  <si>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</si>
  <si>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</si>
  <si>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</si>
  <si>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</si>
  <si>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</si>
  <si>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</si>
  <si>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</si>
  <si>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</si>
  <si>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</si>
  <si>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</si>
  <si>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</si>
  <si>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</si>
  <si>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</si>
  <si>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</si>
  <si>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</si>
  <si>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</si>
  <si>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</si>
  <si>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</si>
  <si>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</si>
  <si>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</si>
  <si>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</si>
  <si>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</si>
  <si>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</si>
  <si>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</si>
  <si>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</si>
  <si>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</si>
  <si>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</si>
  <si>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</si>
  <si>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</si>
  <si>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</si>
  <si>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</si>
  <si>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</si>
  <si>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</si>
  <si>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</si>
  <si>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</si>
  <si>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</si>
  <si>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</si>
  <si>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</si>
  <si>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</si>
  <si>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</si>
  <si>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</si>
  <si>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</si>
  <si>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</si>
  <si>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</si>
  <si>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</si>
  <si>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</si>
  <si>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</si>
  <si>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</si>
  <si>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</si>
  <si>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</si>
  <si>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</si>
  <si>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</si>
  <si>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</si>
  <si>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</si>
  <si>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</si>
  <si>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</si>
  <si>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</si>
  <si>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</si>
  <si>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</si>
  <si>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</si>
  <si>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</si>
  <si>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</si>
  <si>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</si>
  <si>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</si>
  <si>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</si>
  <si>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</si>
  <si>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</si>
  <si>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</si>
  <si>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</si>
  <si>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</si>
  <si>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</si>
  <si>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</si>
  <si>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</si>
  <si>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</si>
  <si>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</si>
  <si>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</si>
  <si>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</si>
  <si>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</si>
  <si>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</si>
  <si>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</si>
  <si>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</si>
  <si>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</si>
  <si>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</si>
  <si>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</si>
  <si>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</si>
  <si>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</si>
  <si>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</si>
  <si>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</si>
  <si>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</si>
  <si>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</si>
  <si>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</si>
  <si>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</si>
  <si>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</si>
  <si>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</si>
  <si>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</si>
  <si>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</si>
  <si>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</si>
  <si>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</si>
  <si>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</si>
  <si>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</si>
  <si>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</si>
  <si>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</si>
  <si>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</si>
  <si>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</si>
  <si>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</si>
  <si>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</si>
  <si>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</si>
  <si>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</si>
  <si>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</si>
  <si>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</si>
  <si>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</si>
  <si>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</si>
  <si>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</si>
  <si>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</si>
  <si>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</si>
  <si>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</si>
  <si>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</si>
  <si>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</si>
  <si>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</si>
  <si>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</si>
  <si>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</si>
  <si>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</si>
  <si>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</si>
  <si>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</si>
  <si>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Enero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</si>
</sst>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501096180553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9.9493600891076506E-2" maxValue="9.9493600891076506E-2"/>
    </cacheField>
    <cacheField name="ACTUAL-OBLIGADO" numFmtId="168">
      <sharedItems containsMixedTypes="1" containsNumber="1" minValue="3.6517655735769622E-2" maxValue="3.6517655735769622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501658564812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0"/>
    </cacheField>
    <cacheField name="APR. REDUCIDA" numFmtId="0">
      <sharedItems containsString="0" containsBlank="1" containsNumber="1" containsInteger="1" minValue="0" maxValue="0"/>
    </cacheField>
    <cacheField name="APR. VIGENTE" numFmtId="0">
      <sharedItems containsString="0" containsBlank="1" containsNumber="1" containsInteger="1" minValue="40000000" maxValue="72773990000"/>
    </cacheField>
    <cacheField name="APR BLOQUEADA" numFmtId="0">
      <sharedItems containsString="0" containsBlank="1" containsNumber="1" containsInteger="1" minValue="0" maxValue="18090000000"/>
    </cacheField>
    <cacheField name="CDP" numFmtId="0">
      <sharedItems containsString="0" containsBlank="1" containsNumber="1" minValue="0" maxValue="72773990000"/>
    </cacheField>
    <cacheField name="APR. DISPONIBLE" numFmtId="0">
      <sharedItems containsString="0" containsBlank="1" containsNumber="1" minValue="0" maxValue="15760605788"/>
    </cacheField>
    <cacheField name="COMPROMISO" numFmtId="0">
      <sharedItems containsString="0" containsBlank="1" containsNumber="1" minValue="0" maxValue="12310466360.719999"/>
    </cacheField>
    <cacheField name="OBLIGACION" numFmtId="0">
      <sharedItems containsString="0" containsBlank="1" containsNumber="1" minValue="0" maxValue="4960482926.6400003"/>
    </cacheField>
    <cacheField name="ORDEN PAGO" numFmtId="0">
      <sharedItems containsString="0" containsBlank="1" containsNumber="1" minValue="0" maxValue="4960482926.6400003"/>
    </cacheField>
    <cacheField name="PAGOS" numFmtId="0">
      <sharedItems containsString="0" containsBlank="1" containsNumber="1" minValue="0" maxValue="4960482926.640000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9.9493600891076506E-2"/>
    <n v="3.6517655735769622E-2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0"/>
    <n v="0"/>
    <n v="72773990000"/>
    <n v="0"/>
    <n v="72773990000"/>
    <n v="0"/>
    <n v="5057762451"/>
    <n v="4960482926.6400003"/>
    <n v="4960482926.6400003"/>
    <n v="4960482926.6400003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0"/>
    <n v="0"/>
    <n v="0"/>
    <n v="0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0"/>
    <n v="0"/>
    <n v="18628192000"/>
    <n v="0"/>
    <n v="18628192000"/>
    <n v="0"/>
    <n v="665480904"/>
    <n v="665480904"/>
    <n v="665480904"/>
    <n v="665480904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3678972"/>
    <n v="3678972"/>
    <n v="3678972"/>
    <n v="3678972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0"/>
    <n v="0"/>
    <n v="0"/>
    <n v="0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363452"/>
    <n v="363452"/>
    <n v="363452"/>
    <n v="363452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0"/>
    <n v="0"/>
    <n v="17932167000"/>
    <n v="0"/>
    <n v="16229410934.629999"/>
    <n v="1702756065.3699999"/>
    <n v="12310466360.719999"/>
    <n v="211784825.09"/>
    <n v="210085488.09"/>
    <n v="210085488.09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0"/>
    <n v="18090000000"/>
    <n v="180900000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0"/>
    <n v="448500000"/>
    <n v="0"/>
    <n v="0"/>
    <n v="0"/>
    <n v="0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0"/>
    <n v="487405000"/>
    <n v="0"/>
    <n v="0"/>
    <n v="487405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27370553"/>
    <n v="27370553"/>
    <n v="27370553"/>
    <n v="27370553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254322600"/>
    <n v="2789677400"/>
    <n v="254322600"/>
    <n v="254322600"/>
    <n v="0"/>
    <n v="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0"/>
    <n v="14429600000"/>
    <n v="0"/>
    <n v="877530248.58000004"/>
    <n v="13552069751.42"/>
    <n v="877530248.58000004"/>
    <n v="877530248.58000004"/>
    <n v="877530248.58000004"/>
    <n v="877530248.58000004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500000000"/>
    <n v="2500000000"/>
    <n v="0"/>
    <n v="0"/>
    <n v="0"/>
    <n v="0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85359947.120000005"/>
    <n v="52399947.119999997"/>
    <n v="15000000"/>
    <n v="1500000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50000000"/>
    <n v="47000000"/>
    <n v="0"/>
    <n v="0"/>
    <n v="0"/>
    <n v="0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38108106"/>
    <n v="276622894"/>
    <n v="37730106"/>
    <n v="37730106"/>
    <n v="31809018"/>
    <n v="31809018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243257956.3299999"/>
    <n v="471519331.67000002"/>
    <n v="2720840654"/>
    <n v="0"/>
    <n v="0"/>
    <n v="0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7499212797"/>
    <n v="15760605788"/>
    <n v="3203043770.8000002"/>
    <n v="0"/>
    <n v="0"/>
    <n v="0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97069092.159999996"/>
    <n v="2624535034.8400002"/>
    <n v="97069092.159999996"/>
    <n v="0"/>
    <n v="0"/>
    <n v="0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3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K13" sqref="K13"/>
    </sheetView>
  </sheetViews>
  <sheetFormatPr baseColWidth="10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36">
      <c r="A6" s="90" t="s">
        <v>117</v>
      </c>
      <c r="B6" s="101">
        <f t="shared" ref="B6:G6" si="0">+B7</f>
        <v>4714777288</v>
      </c>
      <c r="C6" s="101">
        <f t="shared" si="0"/>
        <v>2720840654</v>
      </c>
      <c r="D6" s="101">
        <f t="shared" si="0"/>
        <v>0</v>
      </c>
      <c r="E6" s="101">
        <f t="shared" si="0"/>
        <v>1993936634</v>
      </c>
      <c r="F6" s="102">
        <f t="shared" si="0"/>
        <v>0.57708784271211577</v>
      </c>
      <c r="G6" s="102">
        <f t="shared" si="0"/>
        <v>0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2720840654</v>
      </c>
      <c r="D7" s="103">
        <f>GETPIVOTDATA("Suma de OBLIGACION",CRIS!$A$3,"CM - A","C3")</f>
        <v>0</v>
      </c>
      <c r="E7" s="104">
        <f>+B7-C7</f>
        <v>1993936634</v>
      </c>
      <c r="F7" s="105">
        <f>+C7/B7</f>
        <v>0.57708784271211577</v>
      </c>
      <c r="G7" s="106">
        <f>+D7/B7</f>
        <v>0</v>
      </c>
    </row>
    <row r="8" spans="1:12" ht="36">
      <c r="A8" s="90" t="s">
        <v>119</v>
      </c>
      <c r="B8" s="101">
        <f>SUM(B9:B10)</f>
        <v>25981422712</v>
      </c>
      <c r="C8" s="101">
        <f>SUM(C9:C10)</f>
        <v>3300112862.96</v>
      </c>
      <c r="D8" s="101">
        <f>SUM(D9:D10)</f>
        <v>0</v>
      </c>
      <c r="E8" s="101">
        <f>SUM(E9:E10)</f>
        <v>22681309849.040001</v>
      </c>
      <c r="F8" s="107">
        <f>+C8/B8</f>
        <v>0.12701817369823176</v>
      </c>
      <c r="G8" s="108">
        <f>+D8/B8</f>
        <v>0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3203043770.8000002</v>
      </c>
      <c r="D9" s="103">
        <f>GETPIVOTDATA("Suma de OBLIGACION",CRIS!$A$3,"CM - A","C11")</f>
        <v>0</v>
      </c>
      <c r="E9" s="103">
        <f>+B9-C9</f>
        <v>20056774814.200001</v>
      </c>
      <c r="F9" s="105">
        <f>+C9/B9</f>
        <v>0.13770716908624592</v>
      </c>
      <c r="G9" s="109">
        <f>+D9/B9</f>
        <v>0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97069092.159999996</v>
      </c>
      <c r="D10" s="103">
        <f>GETPIVOTDATA("Suma de OBLIGACION",CRIS!$A$3,"CM - A","C12")</f>
        <v>0</v>
      </c>
      <c r="E10" s="103">
        <f>+B10-C10</f>
        <v>2624535034.8400002</v>
      </c>
      <c r="F10" s="105">
        <f>+C10/B10</f>
        <v>3.5666132042134431E-2</v>
      </c>
      <c r="G10" s="109">
        <f>+D10/B10</f>
        <v>0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6020953516.96</v>
      </c>
      <c r="D11" s="101">
        <f>+D6+D8</f>
        <v>0</v>
      </c>
      <c r="E11" s="101">
        <f>+E6+E8</f>
        <v>24675246483.040001</v>
      </c>
      <c r="F11" s="107">
        <f>+C11/B11</f>
        <v>0.19614654312129839</v>
      </c>
      <c r="G11" s="108">
        <f>+D11/B11</f>
        <v>0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19320065594.420002</v>
      </c>
      <c r="D15" s="110">
        <f>SUM(D16:D20)</f>
        <v>7091144534.4300003</v>
      </c>
      <c r="E15" s="110">
        <f>SUM(E16:E20)</f>
        <v>174863936405.58002</v>
      </c>
      <c r="F15" s="111">
        <f t="shared" ref="F15:F21" si="1">+C15/B15</f>
        <v>9.9493600891076506E-2</v>
      </c>
      <c r="G15" s="112">
        <f t="shared" ref="G15:G21" si="2">+D15/B15</f>
        <v>3.6517655735769622E-2</v>
      </c>
    </row>
    <row r="16" spans="1:12" ht="23.25">
      <c r="A16" s="95" t="s">
        <v>124</v>
      </c>
      <c r="B16" s="113">
        <f>GETPIVOTDATA("Suma de APR. VIGENTE",CRIS!$A$3,"CM - A","A01")</f>
        <v>127696699000</v>
      </c>
      <c r="C16" s="113">
        <f>GETPIVOTDATA("Suma de COMPROMISO",CRIS!$A$3,"CM - A","A01")</f>
        <v>5727285779</v>
      </c>
      <c r="D16" s="113">
        <f>GETPIVOTDATA("Suma de OBLIGACION",CRIS!$A$3,"CM - A","A01")</f>
        <v>5630006254.6400003</v>
      </c>
      <c r="E16" s="103">
        <f>+B16-C16</f>
        <v>121969413221</v>
      </c>
      <c r="F16" s="105">
        <f t="shared" si="1"/>
        <v>4.4850695623698152E-2</v>
      </c>
      <c r="G16" s="109">
        <f t="shared" si="2"/>
        <v>4.408889422145517E-2</v>
      </c>
    </row>
    <row r="17" spans="1:7" ht="23.25">
      <c r="A17" s="95" t="s">
        <v>125</v>
      </c>
      <c r="B17" s="113">
        <f>GETPIVOTDATA("Suma de APR. VIGENTE",CRIS!$A$3,"CM - A","A02")</f>
        <v>17932167000</v>
      </c>
      <c r="C17" s="113">
        <f>GETPIVOTDATA("Suma de COMPROMISO",CRIS!$A$3,"CM - A","A02")</f>
        <v>12310466360.719999</v>
      </c>
      <c r="D17" s="113">
        <f>GETPIVOTDATA("Suma de OBLIGACION",CRIS!$A$3,"CM - A","A02")</f>
        <v>211784825.09</v>
      </c>
      <c r="E17" s="103">
        <f>+B17-C17</f>
        <v>5621700639.2800007</v>
      </c>
      <c r="F17" s="105">
        <f t="shared" si="1"/>
        <v>0.68650188015313485</v>
      </c>
      <c r="G17" s="109">
        <f t="shared" si="2"/>
        <v>1.1810330847911466E-2</v>
      </c>
    </row>
    <row r="18" spans="1:7" ht="23.25">
      <c r="A18" s="95" t="s">
        <v>126</v>
      </c>
      <c r="B18" s="113">
        <f>GETPIVOTDATA("Suma de APR. VIGENTE",CRIS!$A$3,"CM - A","A03")</f>
        <v>44289505000</v>
      </c>
      <c r="C18" s="113">
        <f>GETPIVOTDATA("Suma de COMPROMISO",CRIS!$A$3,"CM - A","A03")</f>
        <v>1244583348.6999998</v>
      </c>
      <c r="D18" s="113">
        <f>GETPIVOTDATA("Suma de OBLIGACION",CRIS!$A$3,"CM - A","A03")</f>
        <v>1211623348.6999998</v>
      </c>
      <c r="E18" s="103">
        <f>+B18-C18</f>
        <v>43044921651.300003</v>
      </c>
      <c r="F18" s="105">
        <f t="shared" si="1"/>
        <v>2.8101089608023388E-2</v>
      </c>
      <c r="G18" s="109">
        <f t="shared" si="2"/>
        <v>2.735689524414418E-2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0</v>
      </c>
      <c r="D19" s="113">
        <f>GETPIVOTDATA("Suma de OBLIGACION",CRIS!$A$3,"CM - A","A06")</f>
        <v>0</v>
      </c>
      <c r="E19" s="103">
        <f>+B19-C19</f>
        <v>3497000000</v>
      </c>
      <c r="F19" s="105">
        <f t="shared" si="1"/>
        <v>0</v>
      </c>
      <c r="G19" s="109">
        <f t="shared" si="2"/>
        <v>0</v>
      </c>
    </row>
    <row r="20" spans="1:7" ht="24" thickBot="1">
      <c r="A20" s="95" t="s">
        <v>128</v>
      </c>
      <c r="B20" s="113">
        <f>GETPIVOTDATA("Suma de APR. VIGENTE",CRIS!$A$3,"CM - A","A08")</f>
        <v>768631000</v>
      </c>
      <c r="C20" s="113">
        <f>GETPIVOTDATA("Suma de COMPROMISO",CRIS!$A$3,"CM - A","A08")</f>
        <v>37730106</v>
      </c>
      <c r="D20" s="113">
        <f>GETPIVOTDATA("Suma de OBLIGACION",CRIS!$A$3,"CM - A","A08")</f>
        <v>37730106</v>
      </c>
      <c r="E20" s="103">
        <f>+B20-C20</f>
        <v>730900894</v>
      </c>
      <c r="F20" s="105">
        <f t="shared" si="1"/>
        <v>4.908741125455518E-2</v>
      </c>
      <c r="G20" s="109">
        <f t="shared" si="2"/>
        <v>4.908741125455518E-2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19320065594.420002</v>
      </c>
      <c r="D21" s="114">
        <f>SUM(D16:D20)</f>
        <v>7091144534.4300003</v>
      </c>
      <c r="E21" s="114">
        <f>SUM(E16:E20)</f>
        <v>174863936405.58002</v>
      </c>
      <c r="F21" s="115">
        <f t="shared" si="1"/>
        <v>9.9493600891076506E-2</v>
      </c>
      <c r="G21" s="115">
        <f t="shared" si="2"/>
        <v>3.6517655735769622E-2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25341019111.380001</v>
      </c>
      <c r="D23" s="114">
        <f>+D21+D11</f>
        <v>7091144534.4300003</v>
      </c>
      <c r="E23" s="114">
        <f>+E21+E11</f>
        <v>199539182888.62003</v>
      </c>
      <c r="F23" s="115">
        <f>+C23/B23</f>
        <v>0.11268675003849384</v>
      </c>
      <c r="G23" s="115">
        <f>+D23/B23</f>
        <v>3.1532987214365808E-2</v>
      </c>
    </row>
    <row r="30" spans="1:7">
      <c r="F30" s="99"/>
    </row>
    <row r="31" spans="1:7">
      <c r="F31" s="10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C28" sqref="C28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45698</v>
      </c>
      <c r="H3" t="str">
        <f ca="1">TEXT(G3,"MMMM")</f>
        <v>febrero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127696699000</v>
      </c>
      <c r="C5" s="83">
        <v>5727285779</v>
      </c>
      <c r="D5" s="83">
        <v>5630006254.6400003</v>
      </c>
      <c r="G5" t="s">
        <v>203</v>
      </c>
    </row>
    <row r="6" spans="1:9">
      <c r="A6" s="82" t="s">
        <v>138</v>
      </c>
      <c r="B6" s="83">
        <v>17932167000</v>
      </c>
      <c r="C6" s="83">
        <v>12310466360.719999</v>
      </c>
      <c r="D6" s="83">
        <v>211784825.09</v>
      </c>
      <c r="G6" t="str">
        <f ca="1">CONCATENATE(G4," ",H3," ",G5)</f>
        <v xml:space="preserve">EJECUCIÓN PRESUPUESTAL  febrero 2024 ( Millones) </v>
      </c>
    </row>
    <row r="7" spans="1:9">
      <c r="A7" s="82" t="s">
        <v>139</v>
      </c>
      <c r="B7" s="83">
        <v>44289505000</v>
      </c>
      <c r="C7" s="83">
        <v>1244583348.6999998</v>
      </c>
      <c r="D7" s="83">
        <v>1211623348.6999998</v>
      </c>
    </row>
    <row r="8" spans="1:9">
      <c r="A8" s="82" t="s">
        <v>140</v>
      </c>
      <c r="B8" s="83">
        <v>3497000000</v>
      </c>
      <c r="C8" s="83">
        <v>0</v>
      </c>
      <c r="D8" s="83">
        <v>0</v>
      </c>
    </row>
    <row r="9" spans="1:9">
      <c r="A9" s="82" t="s">
        <v>143</v>
      </c>
      <c r="B9" s="83">
        <v>768631000</v>
      </c>
      <c r="C9" s="83">
        <v>37730106</v>
      </c>
      <c r="D9" s="83">
        <v>37730106</v>
      </c>
    </row>
    <row r="10" spans="1:9" ht="15.75">
      <c r="A10" s="82" t="s">
        <v>155</v>
      </c>
      <c r="B10" s="83">
        <v>23259818585</v>
      </c>
      <c r="C10" s="83">
        <v>3203043770.8000002</v>
      </c>
      <c r="D10" s="83">
        <v>0</v>
      </c>
      <c r="G10" s="14"/>
    </row>
    <row r="11" spans="1:9">
      <c r="A11" s="82" t="s">
        <v>156</v>
      </c>
      <c r="B11" s="83">
        <v>2721604127</v>
      </c>
      <c r="C11" s="83">
        <v>97069092.159999996</v>
      </c>
      <c r="D11" s="83">
        <v>0</v>
      </c>
    </row>
    <row r="12" spans="1:9">
      <c r="A12" s="82" t="s">
        <v>154</v>
      </c>
      <c r="B12" s="83">
        <v>4714777288</v>
      </c>
      <c r="C12" s="83">
        <v>2720840654</v>
      </c>
      <c r="D12" s="83">
        <v>0</v>
      </c>
    </row>
    <row r="13" spans="1:9">
      <c r="A13" s="82" t="s">
        <v>148</v>
      </c>
      <c r="B13" s="83">
        <v>224880202000</v>
      </c>
      <c r="C13" s="83">
        <v>25341019111.380001</v>
      </c>
      <c r="D13" s="83">
        <v>7091144534.4300003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6" activePane="bottomLeft" state="frozen"/>
      <selection activeCell="B1" sqref="B1"/>
      <selection pane="bottomLeft" activeCell="R2" sqref="R2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0.44140625" style="20" customWidth="1"/>
    <col min="20" max="20" width="9.664062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0</v>
      </c>
      <c r="T2" s="18">
        <v>0</v>
      </c>
      <c r="U2" s="19">
        <v>72773990000</v>
      </c>
      <c r="V2" s="18">
        <v>0</v>
      </c>
      <c r="W2" s="18">
        <v>72773990000</v>
      </c>
      <c r="X2" s="18">
        <v>0</v>
      </c>
      <c r="Y2" s="18">
        <v>5057762451</v>
      </c>
      <c r="Z2" s="18">
        <v>4960482926.6400003</v>
      </c>
      <c r="AA2" s="18">
        <v>4960482926.6400003</v>
      </c>
      <c r="AB2" s="18">
        <v>4960482926.6400003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0</v>
      </c>
      <c r="Z3" s="18">
        <v>0</v>
      </c>
      <c r="AA3" s="18">
        <v>0</v>
      </c>
      <c r="AB3" s="18">
        <v>0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0</v>
      </c>
      <c r="T4" s="18">
        <v>0</v>
      </c>
      <c r="U4" s="19">
        <v>18628192000</v>
      </c>
      <c r="V4" s="18">
        <v>0</v>
      </c>
      <c r="W4" s="18">
        <v>18628192000</v>
      </c>
      <c r="X4" s="18">
        <v>0</v>
      </c>
      <c r="Y4" s="18">
        <v>665480904</v>
      </c>
      <c r="Z4" s="18">
        <v>665480904</v>
      </c>
      <c r="AA4" s="18">
        <v>665480904</v>
      </c>
      <c r="AB4" s="18">
        <v>665480904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3678972</v>
      </c>
      <c r="Z6" s="18">
        <v>3678972</v>
      </c>
      <c r="AA6" s="18">
        <v>3678972</v>
      </c>
      <c r="AB6" s="18">
        <v>3678972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363452</v>
      </c>
      <c r="Z8" s="18">
        <v>363452</v>
      </c>
      <c r="AA8" s="18">
        <v>363452</v>
      </c>
      <c r="AB8" s="18">
        <v>363452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0</v>
      </c>
      <c r="T9" s="18">
        <v>0</v>
      </c>
      <c r="U9" s="18">
        <v>17932167000</v>
      </c>
      <c r="V9" s="18">
        <v>0</v>
      </c>
      <c r="W9" s="18">
        <v>16229410934.629999</v>
      </c>
      <c r="X9" s="18">
        <v>1702756065.3699999</v>
      </c>
      <c r="Y9" s="18">
        <v>12310466360.719999</v>
      </c>
      <c r="Z9" s="18">
        <v>211784825.09</v>
      </c>
      <c r="AA9" s="18">
        <v>210085488.09</v>
      </c>
      <c r="AB9" s="18">
        <v>210085488.09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0</v>
      </c>
      <c r="U10" s="18">
        <v>18090000000</v>
      </c>
      <c r="V10" s="18">
        <v>18090000000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0</v>
      </c>
      <c r="X11" s="18">
        <v>448500000</v>
      </c>
      <c r="Y11" s="18">
        <v>0</v>
      </c>
      <c r="Z11" s="18">
        <v>0</v>
      </c>
      <c r="AA11" s="18">
        <v>0</v>
      </c>
      <c r="AB11" s="18">
        <v>0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0</v>
      </c>
      <c r="U12" s="18">
        <v>487405000</v>
      </c>
      <c r="V12" s="18">
        <v>0</v>
      </c>
      <c r="W12" s="18">
        <v>0</v>
      </c>
      <c r="X12" s="18">
        <v>487405000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27370553</v>
      </c>
      <c r="Z13" s="18">
        <v>27370553</v>
      </c>
      <c r="AA13" s="18">
        <v>27370553</v>
      </c>
      <c r="AB13" s="18">
        <v>27370553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254322600</v>
      </c>
      <c r="X15" s="18">
        <v>2789677400</v>
      </c>
      <c r="Y15" s="18">
        <v>254322600</v>
      </c>
      <c r="Z15" s="18">
        <v>254322600</v>
      </c>
      <c r="AA15" s="18">
        <v>0</v>
      </c>
      <c r="AB15" s="18">
        <v>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0</v>
      </c>
      <c r="U16" s="18">
        <v>14429600000</v>
      </c>
      <c r="V16" s="18">
        <v>0</v>
      </c>
      <c r="W16" s="18">
        <v>877530248.58000004</v>
      </c>
      <c r="X16" s="18">
        <v>13552069751.42</v>
      </c>
      <c r="Y16" s="18">
        <v>877530248.58000004</v>
      </c>
      <c r="Z16" s="18">
        <v>877530248.58000004</v>
      </c>
      <c r="AA16" s="18">
        <v>877530248.58000004</v>
      </c>
      <c r="AB16" s="18">
        <v>877530248.58000004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500000000</v>
      </c>
      <c r="X17" s="18">
        <v>2500000000</v>
      </c>
      <c r="Y17" s="18">
        <v>0</v>
      </c>
      <c r="Z17" s="18">
        <v>0</v>
      </c>
      <c r="AA17" s="18">
        <v>0</v>
      </c>
      <c r="AB17" s="18">
        <v>0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85359947.120000005</v>
      </c>
      <c r="Z18" s="18">
        <v>52399947.119999997</v>
      </c>
      <c r="AA18" s="18">
        <v>15000000</v>
      </c>
      <c r="AB18" s="18">
        <v>15000000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3450000000</v>
      </c>
      <c r="X19" s="18">
        <v>47000000</v>
      </c>
      <c r="Y19" s="18">
        <v>0</v>
      </c>
      <c r="Z19" s="18">
        <v>0</v>
      </c>
      <c r="AA19" s="18">
        <v>0</v>
      </c>
      <c r="AB19" s="18">
        <v>0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38108106</v>
      </c>
      <c r="X20" s="18">
        <v>276622894</v>
      </c>
      <c r="Y20" s="18">
        <v>37730106</v>
      </c>
      <c r="Z20" s="18">
        <v>37730106</v>
      </c>
      <c r="AA20" s="18">
        <v>31809018</v>
      </c>
      <c r="AB20" s="18">
        <v>31809018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4243257956.3299999</v>
      </c>
      <c r="X22" s="18">
        <v>471519331.67000002</v>
      </c>
      <c r="Y22" s="18">
        <v>2720840654</v>
      </c>
      <c r="Z22" s="18">
        <v>0</v>
      </c>
      <c r="AA22" s="18">
        <v>0</v>
      </c>
      <c r="AB22" s="18">
        <v>0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7499212797</v>
      </c>
      <c r="X23" s="18">
        <v>15760605788</v>
      </c>
      <c r="Y23" s="18">
        <v>3203043770.8000002</v>
      </c>
      <c r="Z23" s="18">
        <v>0</v>
      </c>
      <c r="AA23" s="18">
        <v>0</v>
      </c>
      <c r="AB23" s="18">
        <v>0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97069092.159999996</v>
      </c>
      <c r="X24" s="18">
        <v>2624535034.8400002</v>
      </c>
      <c r="Y24" s="18">
        <v>97069092.159999996</v>
      </c>
      <c r="Z24" s="18">
        <v>0</v>
      </c>
      <c r="AA24" s="18">
        <v>0</v>
      </c>
      <c r="AB24" s="18">
        <v>0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workbookViewId="0">
      <selection activeCell="H18" sqref="H18"/>
    </sheetView>
  </sheetViews>
  <sheetFormatPr baseColWidth="10" defaultRowHeight="15"/>
  <cols>
    <col min="1" max="1" width="13.6640625" customWidth="1"/>
    <col min="2" max="2" width="17.218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19320065594.420002</v>
      </c>
      <c r="C4" t="s">
        <v>145</v>
      </c>
      <c r="D4" s="13">
        <f t="shared" ref="D4:D15" si="0">B4</f>
        <v>19320065594.420002</v>
      </c>
      <c r="F4" s="78" t="s">
        <v>145</v>
      </c>
      <c r="G4" s="13">
        <v>7091144534.4300003</v>
      </c>
      <c r="H4" t="s">
        <v>145</v>
      </c>
      <c r="I4" s="13">
        <f t="shared" ref="I4:I15" si="1">G4</f>
        <v>7091144534.4300003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9.9493600891076506E-2</v>
      </c>
      <c r="Q4" s="72">
        <f t="shared" ref="Q4:Q15" si="5">+I4/N4</f>
        <v>3.6517655735769622E-2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19320065594.420002</v>
      </c>
      <c r="F17" s="78" t="s">
        <v>148</v>
      </c>
      <c r="G17">
        <v>7091144534.4300003</v>
      </c>
      <c r="K17" s="78" t="s">
        <v>148</v>
      </c>
      <c r="L17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6020953516.96</v>
      </c>
      <c r="C23" t="str">
        <f t="shared" ref="C23:C34" si="6">A23</f>
        <v>Enero</v>
      </c>
      <c r="D23" s="13">
        <f t="shared" ref="D23:D34" si="7">B23</f>
        <v>6020953516.96</v>
      </c>
      <c r="F23" s="78" t="s">
        <v>145</v>
      </c>
      <c r="G23" s="13">
        <v>0</v>
      </c>
      <c r="H23" t="str">
        <f t="shared" ref="H23:H34" si="8">F23</f>
        <v>Enero</v>
      </c>
      <c r="I23" s="13">
        <f t="shared" ref="I23:I34" si="9">G23</f>
        <v>0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0.19614654312129839</v>
      </c>
      <c r="Q23" s="72">
        <f t="shared" ref="Q23:Q34" si="13">+I23/N23</f>
        <v>0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6020953516.96</v>
      </c>
      <c r="F36" s="78" t="s">
        <v>148</v>
      </c>
      <c r="G36">
        <v>0</v>
      </c>
      <c r="K36" s="78" t="s">
        <v>148</v>
      </c>
      <c r="L36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25341019111.380001</v>
      </c>
      <c r="E42" s="13">
        <v>7091144534.4300003</v>
      </c>
      <c r="F42" t="str">
        <f t="shared" ref="F42:F53" si="14">B42</f>
        <v>Enero</v>
      </c>
      <c r="G42" s="72">
        <f>+GETPIVOTDATA("SCOMPROMISO",$B$41,"Mes","Enero")/GETPIVOTDATA(" APR. VIGENTE",$B$41,"Mes","Enero")</f>
        <v>0.11268675003849384</v>
      </c>
      <c r="H42" s="72">
        <f>+GETPIVOTDATA("SOBLIGACION",$B$41,"Mes","Enero")/GETPIVOTDATA(" APR. VIGENTE",$B$41,"Mes","Enero")</f>
        <v>3.1532987214365808E-2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224880202000</v>
      </c>
      <c r="D55">
        <v>25341019111.380001</v>
      </c>
      <c r="E55">
        <v>7091144534.4300003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6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9.9493600891076506E-2</v>
      </c>
      <c r="L61" s="35">
        <f>'BASE OBL-COM'!Q4</f>
        <v>3.6517655735769622E-2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0.19614654312129839</v>
      </c>
      <c r="L76" s="76">
        <f>'BASE OBL-COM'!Q23</f>
        <v>0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0.19614654312129839</v>
      </c>
      <c r="F88" s="64">
        <f>+Ejecucion!D11/Ejecucion!B11</f>
        <v>0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0.11268675003849384</v>
      </c>
      <c r="L92" s="76">
        <f>'BASE OBL-COM'!H42</f>
        <v>3.1532987214365808E-2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2025-02-10T17:09:02Z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